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K3vbJrfBDp/pmufjQP/4fdZwmRY/l9aVJdQ0TzSorVrqrxFfCie7iFh4+WMh31gLbebmliaagUHOWfokC9zXqw==" workbookSaltValue="2NaGOyz1PU/MjKRXj1q4M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T14" i="20"/>
  <c r="BF25" i="8"/>
  <c r="BG16" i="8"/>
  <c r="BF9" i="8"/>
  <c r="C30" i="7"/>
  <c r="AO14" i="21"/>
  <c r="AP14" i="16"/>
  <c r="T23" i="17"/>
  <c r="T26" i="17" s="1"/>
  <c r="T30" i="17" s="1"/>
  <c r="BG16" i="13"/>
  <c r="BE17" i="13"/>
  <c r="BE16" i="13"/>
  <c r="G23" i="14"/>
  <c r="X32" i="20"/>
  <c r="G30" i="14"/>
  <c r="E29" i="3" l="1"/>
  <c r="BF17" i="8"/>
  <c r="BF16" i="8"/>
  <c r="J16" i="7" s="1"/>
  <c r="AY14" i="8"/>
  <c r="BD9" i="8"/>
  <c r="AA18" i="16"/>
  <c r="R8" i="9"/>
  <c r="Z14" i="17"/>
  <c r="AP17" i="20"/>
  <c r="V16" i="11"/>
  <c r="BG25" i="11"/>
  <c r="Q18" i="20"/>
  <c r="Q23" i="20" s="1"/>
  <c r="BF18" i="11"/>
  <c r="BG22" i="11"/>
  <c r="AZ19" i="11"/>
  <c r="BK21" i="11"/>
  <c r="BI25" i="11"/>
  <c r="V13" i="11"/>
  <c r="BI19" i="11"/>
  <c r="AP22" i="20"/>
  <c r="AZ13" i="11"/>
  <c r="BL25" i="11"/>
  <c r="AZ9" i="11"/>
  <c r="AZ14" i="11" s="1"/>
  <c r="BM20" i="11"/>
  <c r="BJ28" i="11"/>
  <c r="BU28" i="17"/>
  <c r="BU11" i="17"/>
  <c r="BW9" i="20"/>
  <c r="BU21" i="17"/>
  <c r="BV17" i="16"/>
  <c r="BW17" i="20"/>
  <c r="BV25" i="16"/>
  <c r="BV11" i="16"/>
  <c r="BW16" i="20"/>
  <c r="BU20" i="17"/>
  <c r="U10" i="17"/>
  <c r="BW29" i="20"/>
  <c r="BV10" i="16"/>
  <c r="BW22" i="20"/>
  <c r="BU18" i="17"/>
  <c r="BV29" i="16"/>
  <c r="S11" i="17"/>
  <c r="BU17" i="17"/>
  <c r="BV20" i="16"/>
  <c r="AZ22" i="11"/>
  <c r="AA20" i="16"/>
  <c r="R28" i="14"/>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L22" i="2"/>
  <c r="L29" i="2"/>
  <c r="L16" i="2"/>
  <c r="L17" i="2"/>
  <c r="X19" i="16"/>
  <c r="L18" i="2"/>
  <c r="L20" i="2"/>
  <c r="AA11" i="16"/>
  <c r="L21" i="2"/>
  <c r="AA9" i="16"/>
  <c r="V9" i="16"/>
  <c r="BH9" i="16"/>
  <c r="BF13" i="11"/>
  <c r="BH16" i="16"/>
  <c r="BF28" i="11"/>
  <c r="BG20" i="11"/>
  <c r="BK29" i="11"/>
  <c r="V11" i="11"/>
  <c r="BM12" i="11"/>
  <c r="V9" i="11"/>
  <c r="BJ16" i="11"/>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Z32" i="20"/>
  <c r="T32" i="20"/>
  <c r="AM32" i="20"/>
  <c r="Q32" i="20"/>
  <c r="W32" i="21"/>
  <c r="E32" i="20"/>
  <c r="AV32" i="20"/>
  <c r="O32" i="20"/>
  <c r="AQ32" i="21"/>
  <c r="Y32" i="20"/>
  <c r="L32" i="20"/>
  <c r="AJ32" i="20"/>
  <c r="AH32" i="20"/>
  <c r="I32" i="20"/>
  <c r="O18" i="11"/>
  <c r="AB32" i="20"/>
  <c r="AI32" i="20"/>
  <c r="S32" i="20"/>
  <c r="R32" i="20"/>
  <c r="N32" i="20"/>
  <c r="AA32" i="20"/>
  <c r="G14" i="14"/>
  <c r="AC32" i="20"/>
  <c r="AN32" i="20"/>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Q9" i="11" l="1"/>
  <c r="X21" i="16"/>
  <c r="BK22" i="11"/>
  <c r="S16" i="17"/>
  <c r="AP16" i="20"/>
  <c r="BG19" i="11"/>
  <c r="AP18" i="20"/>
  <c r="BU25" i="17"/>
  <c r="BV13" i="16"/>
  <c r="BV21" i="16"/>
  <c r="BV16" i="16"/>
  <c r="BW11" i="20"/>
  <c r="S21" i="17"/>
  <c r="BW28" i="20"/>
  <c r="BU13" i="17"/>
  <c r="BU33" i="17" s="1"/>
  <c r="BW21" i="20"/>
  <c r="BV9" i="16"/>
  <c r="AA29" i="16"/>
  <c r="AZ12" i="11"/>
  <c r="AZ11" i="11"/>
  <c r="Q18" i="17"/>
  <c r="Q23" i="17" s="1"/>
  <c r="BH10" i="11"/>
  <c r="AQ10" i="21"/>
  <c r="AO29" i="17"/>
  <c r="S10" i="17"/>
  <c r="BI29" i="11"/>
  <c r="BG17" i="11"/>
  <c r="Q17" i="11" s="1"/>
  <c r="BM21" i="11"/>
  <c r="AO25" i="17"/>
  <c r="BJ17" i="11"/>
  <c r="BL17" i="11"/>
  <c r="BL23" i="11" s="1"/>
  <c r="BH22" i="11"/>
  <c r="L10" i="2"/>
  <c r="S17" i="17"/>
  <c r="L25" i="2"/>
  <c r="X10" i="21"/>
  <c r="L19" i="2"/>
  <c r="L9" i="2"/>
  <c r="V25" i="16"/>
  <c r="V20" i="11"/>
  <c r="AP26" i="21"/>
  <c r="BG21" i="11"/>
  <c r="BV28" i="16"/>
  <c r="BW13" i="20"/>
  <c r="BU29" i="17"/>
  <c r="BU9" i="17"/>
  <c r="BU19" i="17"/>
  <c r="BW10" i="20"/>
  <c r="BV22" i="16"/>
  <c r="BU12" i="17"/>
  <c r="S25" i="17"/>
  <c r="AZ20" i="11"/>
  <c r="S11" i="14"/>
  <c r="V11" i="14" s="1"/>
  <c r="BG12" i="11"/>
  <c r="BI20" i="11"/>
  <c r="BI9" i="11"/>
  <c r="BL28" i="11"/>
  <c r="BL10" i="11"/>
  <c r="BH10" i="16"/>
  <c r="BH11" i="11"/>
  <c r="S18" i="17"/>
  <c r="BM9" i="11"/>
  <c r="BH12" i="16"/>
  <c r="L28" i="2"/>
  <c r="X21" i="20"/>
  <c r="L12" i="2"/>
  <c r="L13" i="2"/>
  <c r="U9" i="17"/>
  <c r="U31" i="17" s="1"/>
  <c r="X13" i="16"/>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AW32" i="11"/>
  <c r="AV32" i="21"/>
  <c r="K32" i="20"/>
  <c r="O12" i="11"/>
  <c r="H32" i="17"/>
  <c r="AN30" i="17" l="1"/>
  <c r="AN33" i="17" s="1"/>
  <c r="BI23" i="11"/>
  <c r="AQ17"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1"/>
  <c r="K32" i="17"/>
  <c r="BG32" i="16"/>
  <c r="K32" i="11"/>
  <c r="AA32" i="11"/>
  <c r="R32" i="21"/>
  <c r="BC32" i="21"/>
  <c r="AJ32" i="11"/>
  <c r="X32" i="16"/>
  <c r="AU32" i="21"/>
  <c r="T32" i="11"/>
  <c r="BE32" i="21"/>
  <c r="AP32" i="16"/>
  <c r="AG32" i="21"/>
  <c r="AE32" i="17"/>
  <c r="AB32" i="21"/>
  <c r="J32" i="11"/>
  <c r="R32" i="17"/>
  <c r="AO32" i="17"/>
  <c r="AL32" i="16"/>
  <c r="W32" i="17"/>
  <c r="I32" i="16"/>
  <c r="AR32" i="20"/>
  <c r="P32" i="11"/>
  <c r="M32" i="21"/>
  <c r="AT32" i="20"/>
  <c r="AP32" i="21"/>
  <c r="V32" i="17"/>
  <c r="N32" i="21"/>
  <c r="R32" i="16"/>
  <c r="E32" i="16"/>
  <c r="AI32" i="16"/>
  <c r="AD32" i="11"/>
  <c r="AB32" i="11"/>
  <c r="Q32" i="21"/>
  <c r="N32" i="17"/>
  <c r="S32" i="17"/>
  <c r="AR32" i="17"/>
  <c r="AE32" i="21"/>
  <c r="AT32" i="17"/>
  <c r="BJ32" i="16"/>
  <c r="M32" i="11"/>
  <c r="AJ32" i="16"/>
  <c r="AV32" i="17"/>
  <c r="AN32" i="21"/>
  <c r="V32" i="11"/>
  <c r="BO32" i="16"/>
  <c r="T32" i="17"/>
  <c r="AP32" i="17"/>
  <c r="AX32" i="16"/>
  <c r="N32" i="16"/>
  <c r="AW32" i="16"/>
  <c r="AF32" i="17"/>
  <c r="AC32" i="17"/>
  <c r="AN32" i="16"/>
  <c r="BF32" i="16"/>
  <c r="AH32" i="16"/>
  <c r="H32" i="11"/>
  <c r="AM32" i="17"/>
  <c r="AH32" i="11"/>
  <c r="AI32" i="17"/>
  <c r="BK32" i="16"/>
  <c r="F32" i="11"/>
  <c r="BI32" i="16"/>
  <c r="O32" i="17"/>
  <c r="Y32" i="16"/>
  <c r="AL32" i="21"/>
  <c r="BN32" i="16"/>
  <c r="AZ32" i="16"/>
  <c r="L32" i="11"/>
  <c r="I32" i="17"/>
  <c r="AF32" i="21"/>
  <c r="AD32" i="16"/>
  <c r="AJ32" i="21"/>
  <c r="AV32" i="16"/>
  <c r="F31" i="2" l="1"/>
  <c r="BM31" i="11"/>
  <c r="AQ32" i="17"/>
  <c r="AQ32" i="11"/>
  <c r="BL32" i="16"/>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<sst xmlns="http://schemas.openxmlformats.org/spreadsheetml/2006/main" count="2668" uniqueCount="1185">
  <si>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</si>
  <si>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</si>
  <si>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</si>
  <si>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</si>
  <si>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</si>
  <si>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</si>
  <si>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</si>
  <si>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</si>
  <si>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</si>
  <si>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</si>
  <si>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</si>
  <si>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</si>
  <si>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</si>
  <si>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</si>
  <si>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</si>
  <si>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</si>
  <si>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</si>
  <si>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</si>
  <si>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</si>
  <si>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</si>
  <si>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</si>
  <si>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</si>
  <si>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</si>
  <si>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</si>
  <si>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</si>
  <si>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</si>
  <si>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</si>
  <si>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</si>
  <si>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</si>
  <si>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</si>
  <si>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</si>
  <si>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</si>
  <si>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</si>
  <si>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</si>
  <si>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</si>
  <si>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</si>
  <si>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</si>
  <si>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</si>
  <si>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</si>
  <si>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</si>
  <si>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</si>
  <si>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</si>
  <si>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</si>
  <si>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</si>
  <si>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</si>
  <si>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</si>
  <si>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</si>
  <si>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</si>
  <si>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</si>
  <si>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</si>
  <si>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</si>
  <si>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</si>
  <si>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</si>
  <si>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</si>
  <si>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</si>
  <si>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</si>
  <si>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</si>
  <si>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</si>
  <si>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</si>
  <si>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</si>
  <si>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</si>
  <si>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</si>
  <si>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</si>
  <si>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</si>
  <si>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</si>
  <si>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</si>
  <si>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</si>
  <si>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</si>
  <si>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</si>
  <si>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</si>
  <si>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</si>
  <si>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</si>
  <si>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</si>
  <si>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</si>
  <si>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</si>
  <si>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</si>
  <si>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</si>
  <si>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</si>
  <si>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</si>
  <si>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</si>
  <si>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</si>
  <si>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</si>
  <si>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</si>
  <si>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</si>
  <si>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</si>
  <si>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</si>
  <si>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</si>
  <si>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</si>
  <si>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</si>
  <si>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</si>
  <si>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</si>
  <si>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</si>
  <si>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</si>
  <si>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</si>
  <si>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</si>
  <si>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</si>
  <si>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</si>
  <si>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</si>
  <si>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</si>
  <si>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</si>
  <si>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</si>
  <si>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</si>
  <si>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</si>
  <si>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</si>
  <si>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</si>
  <si>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</si>
  <si>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</si>
  <si>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</si>
  <si>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</si>
  <si>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</si>
  <si>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</si>
  <si>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</si>
  <si>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</si>
  <si>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</si>
  <si>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</si>
  <si>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</si>
  <si>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</si>
  <si>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</si>
  <si>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</si>
  <si>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</si>
  <si>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</si>
  <si>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</si>
  <si>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</si>
  <si>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</si>
  <si>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</si>
  <si>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</si>
  <si>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</si>
  <si>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</si>
  <si>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</si>
  <si>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</si>
  <si>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</si>
  <si>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</si>
  <si>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</si>
  <si>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</si>
  <si>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</si>
  <si>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</si>
  <si>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</si>
  <si>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</si>
  <si>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</si>
  <si>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</si>
  <si>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</si>
  <si>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</si>
  <si>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</si>
  <si>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</si>
  <si>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</si>
  <si>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</si>
  <si>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</si>
  <si>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</si>
  <si>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</si>
  <si>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</si>
  <si>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</si>
  <si>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</si>
  <si>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</si>
  <si>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</si>
  <si>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</si>
  <si>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</si>
  <si>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</si>
  <si>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</si>
  <si>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</si>
  <si>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</si>
  <si>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</si>
  <si>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</si>
  <si>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</si>
  <si>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</si>
  <si>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</si>
  <si>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</si>
  <si>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</si>
  <si>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</si>
  <si>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</si>
  <si>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</si>
  <si>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</si>
  <si>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</si>
  <si>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</si>
  <si>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</si>
  <si>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</si>
  <si>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</si>
  <si>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</si>
  <si>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</si>
  <si>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</si>
  <si>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</si>
  <si>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</si>
  <si>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</si>
  <si>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</si>
  <si>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</si>
  <si>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</si>
  <si>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</si>
  <si>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</si>
  <si>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</si>
  <si>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</si>
  <si>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</si>
  <si>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</si>
  <si>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</si>
  <si>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</si>
  <si>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</si>
  <si>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</si>
  <si>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</si>
  <si>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</si>
  <si>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</si>
  <si>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</si>
  <si>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</si>
  <si>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</si>
  <si>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</si>
  <si>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</si>
  <si>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</si>
  <si>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</si>
  <si>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</si>
  <si>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</si>
  <si>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</si>
  <si>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</si>
  <si>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</si>
  <si>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</si>
  <si>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</si>
  <si>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</si>
  <si>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</si>
  <si>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</si>
  <si>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</si>
  <si>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</si>
  <si>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</si>
  <si>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</si>
  <si>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</si>
  <si>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</si>
  <si>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</si>
  <si>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</si>
  <si>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</si>
  <si>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</si>
  <si>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</si>
  <si>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</si>
  <si>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</si>
  <si>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</si>
  <si>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</si>
  <si>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</si>
  <si>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</si>
  <si>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</si>
  <si>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</si>
  <si>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</si>
  <si>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</si>
  <si>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</si>
  <si>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</si>
  <si>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</si>
  <si>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</si>
  <si>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</si>
  <si>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</si>
  <si>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</si>
  <si>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</si>
  <si>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</si>
  <si>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</si>
  <si>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</si>
  <si>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</si>
  <si>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</si>
  <si>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</si>
  <si>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</si>
  <si>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</si>
  <si>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</si>
  <si>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</si>
  <si>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</si>
  <si>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</si>
  <si>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</si>
  <si>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</si>
  <si>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</si>
  <si>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</si>
  <si>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</si>
  <si>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</si>
  <si>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</si>
  <si>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</si>
  <si>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</si>
  <si>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</si>
  <si>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</si>
  <si>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</si>
  <si>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</si>
  <si>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</si>
  <si>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</si>
  <si>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</si>
  <si>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</si>
  <si>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</si>
  <si>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</si>
  <si>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</si>
  <si>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</si>
  <si>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</si>
  <si>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</si>
  <si>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</si>
  <si>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</si>
  <si>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</si>
  <si>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</si>
  <si>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</si>
  <si>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</si>
  <si>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</si>
  <si>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</si>
  <si>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</si>
  <si>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</si>
  <si>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</si>
  <si>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</si>
  <si>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</si>
  <si>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</si>
  <si>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</si>
  <si>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</si>
  <si>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</si>
  <si>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</si>
  <si>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</si>
  <si>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</si>
  <si>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</si>
  <si>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</si>
  <si>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</si>
  <si>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</si>
  <si>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</si>
  <si>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</si>
  <si>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</si>
  <si>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</si>
  <si>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</si>
  <si>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</si>
  <si>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</si>
  <si>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</si>
  <si>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</si>
  <si>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</si>
  <si>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</si>
  <si>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</si>
  <si>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</si>
  <si>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</si>
  <si>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</si>
  <si>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</si>
  <si>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</si>
  <si>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</si>
  <si>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</si>
  <si>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</si>
  <si>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</si>
  <si>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</si>
  <si>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</si>
  <si>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</si>
  <si>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</si>
  <si>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</si>
  <si>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</si>
  <si>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</si>
  <si>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</si>
  <si>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</si>
  <si>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</si>
  <si>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</si>
  <si>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</si>
  <si>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</si>
  <si>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</si>
  <si>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</si>
  <si>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</si>
  <si>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</si>
  <si>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</si>
  <si>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</si>
  <si>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</si>
  <si>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</si>
  <si>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</si>
  <si>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</si>
  <si>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</si>
  <si>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</si>
  <si>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</si>
  <si>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</si>
  <si>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</si>
  <si>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</si>
  <si>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</si>
  <si>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</si>
  <si>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</si>
  <si>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</si>
  <si>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</si>
  <si>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</si>
  <si>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</si>
  <si>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</si>
  <si>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</si>
  <si>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</si>
  <si>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</si>
  <si>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</si>
  <si>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</si>
  <si>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</si>
  <si>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</si>
  <si>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</si>
  <si>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</si>
  <si>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</si>
  <si>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</si>
  <si>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</si>
  <si>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</si>
  <si>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</si>
  <si>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</si>
  <si>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</si>
  <si>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</si>
  <si>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</si>
  <si>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</si>
  <si>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</si>
  <si>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</si>
  <si>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</si>
  <si>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</si>
  <si>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</si>
  <si>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</si>
  <si>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</si>
  <si>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</si>
  <si>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</si>
  <si>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</si>
  <si>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</si>
  <si>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</si>
  <si>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</si>
  <si>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</si>
  <si>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</si>
  <si>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</si>
  <si>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</si>
  <si>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</si>
  <si>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</si>
  <si>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</si>
  <si>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</si>
  <si>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</si>
  <si>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</si>
  <si>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</si>
  <si>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</si>
  <si>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</si>
  <si>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</si>
  <si>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</si>
  <si>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</si>
  <si>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</si>
  <si>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</si>
  <si>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</si>
  <si>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</si>
  <si>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</si>
  <si>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</si>
  <si>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</si>
  <si>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</si>
  <si>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</si>
  <si>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</si>
  <si>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</si>
  <si>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</si>
  <si>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</si>
  <si>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</si>
  <si>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</si>
  <si>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</si>
  <si>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</si>
  <si>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</si>
  <si>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</si>
  <si>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</si>
  <si>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</si>
  <si>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</si>
  <si>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</si>
  <si>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</si>
  <si>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</si>
  <si>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</si>
  <si>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</si>
  <si>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</si>
  <si>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</si>
  <si>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</si>
  <si>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</si>
  <si>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</si>
  <si>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</si>
  <si>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</si>
  <si>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</si>
  <si>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</si>
  <si>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</si>
  <si>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</si>
  <si>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</si>
  <si>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</si>
  <si>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</si>
  <si>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</si>
  <si>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</si>
  <si>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</si>
  <si>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</si>
  <si>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</si>
  <si>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</si>
  <si>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</si>
  <si>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</si>
  <si>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</si>
  <si>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</si>
  <si>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</si>
  <si>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</si>
  <si>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</si>
  <si>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</si>
  <si>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</si>
  <si>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</si>
  <si>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</si>
  <si>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</si>
  <si>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</si>
  <si>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</si>
  <si>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</si>
  <si>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</si>
  <si>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</si>
  <si>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</si>
  <si>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</si>
  <si>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</si>
  <si>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</si>
  <si>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</si>
  <si>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</si>
  <si>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</si>
  <si>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</si>
  <si>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</si>
  <si>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</si>
  <si>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</si>
  <si>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</si>
  <si>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</si>
  <si>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</si>
  <si>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</si>
  <si>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</si>
  <si>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</si>
  <si>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</si>
  <si>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</si>
  <si>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</si>
  <si>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</si>
  <si>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</si>
  <si>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</si>
  <si>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</si>
  <si>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</si>
  <si>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</si>
  <si>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</si>
  <si>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</si>
  <si>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</si>
  <si>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</si>
  <si>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</si>
  <si>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</si>
  <si>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</si>
  <si>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</si>
  <si>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</si>
  <si>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</si>
  <si>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</si>
  <si>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</si>
  <si>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</si>
  <si>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</si>
  <si>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</si>
  <si>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</si>
  <si>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</si>
  <si>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</si>
  <si>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</si>
  <si>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</si>
  <si>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</si>
  <si>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</si>
  <si>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</si>
  <si>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</si>
  <si>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</si>
  <si>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</si>
  <si>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</si>
  <si>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</si>
  <si>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</si>
  <si>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</si>
  <si>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</si>
  <si>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</si>
  <si>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</si>
  <si>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</si>
  <si>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</si>
  <si>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</si>
  <si>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</si>
  <si>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</si>
  <si>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</si>
  <si>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</si>
  <si>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</si>
  <si>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</si>
  <si>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</si>
  <si>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</si>
  <si>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</si>
  <si>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</si>
  <si>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</si>
  <si>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</si>
  <si>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</si>
  <si>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</si>
  <si>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</si>
  <si>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</si>
  <si>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</si>
  <si>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</si>
  <si>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</si>
  <si>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</si>
  <si>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</si>
  <si>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</si>
  <si>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</si>
  <si>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</si>
  <si>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</si>
  <si>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</si>
  <si>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</si>
  <si>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</si>
  <si>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</si>
  <si>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</si>
  <si>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</si>
  <si>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</si>
  <si>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</si>
  <si>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</si>
  <si>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</si>
  <si>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</si>
  <si>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</si>
  <si>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</si>
  <si>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</si>
  <si>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</si>
  <si>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</si>
  <si>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</si>
  <si>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</si>
  <si>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</si>
  <si>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</si>
  <si>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</si>
  <si>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</si>
  <si>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</si>
  <si>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</si>
  <si>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</si>
  <si>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</si>
  <si>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</si>
  <si>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</si>
  <si>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</si>
  <si>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</si>
  <si>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</si>
  <si>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</si>
  <si>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</si>
  <si>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</si>
  <si>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</si>
  <si>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</si>
  <si>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</si>
  <si>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</si>
  <si>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</si>
  <si>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</si>
  <si>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</si>
  <si>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</si>
  <si>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</si>
  <si>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</si>
  <si>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</si>
  <si>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</si>
  <si>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</si>
  <si>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</si>
  <si>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</si>
  <si>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</si>
  <si>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</si>
  <si>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</si>
  <si>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</si>
  <si>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</si>
  <si>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</si>
  <si>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</si>
  <si>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</si>
  <si>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</si>
  <si>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</si>
  <si>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</si>
  <si>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</si>
  <si>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</si>
  <si>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</si>
  <si>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</si>
  <si>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</si>
  <si>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</si>
  <si>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</si>
  <si>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</si>
  <si>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</si>
  <si>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</si>
  <si>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</si>
  <si>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</si>
  <si>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</si>
  <si>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</si>
  <si>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</si>
  <si>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</si>
  <si>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</si>
  <si>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</si>
  <si>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</si>
  <si>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</si>
  <si>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</si>
  <si>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</si>
  <si>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</si>
  <si>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</si>
  <si>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</si>
  <si>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</si>
  <si>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</si>
  <si>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</si>
  <si>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</si>
  <si>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</si>
  <si>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</si>
  <si>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</si>
  <si>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</si>
  <si>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</si>
  <si>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</si>
  <si>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</si>
  <si>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</si>
  <si>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</si>
  <si>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</si>
  <si>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</si>
  <si>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</si>
  <si>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</si>
  <si>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</si>
  <si>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</si>
  <si>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</si>
  <si>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</si>
  <si>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</si>
  <si>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</si>
  <si>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</si>
  <si>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</si>
  <si>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</si>
  <si>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</si>
  <si>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</si>
  <si>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</si>
  <si>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</si>
  <si>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</si>
  <si>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</si>
  <si>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</si>
  <si>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</si>
  <si>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</si>
  <si>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</si>
  <si>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</si>
  <si>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</si>
  <si>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</si>
  <si>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</si>
  <si>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</si>
  <si>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</si>
  <si>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</si>
  <si>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</si>
  <si>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</si>
  <si>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</si>
  <si>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</si>
  <si>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</si>
  <si>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</si>
  <si>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</si>
  <si>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</si>
  <si>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</si>
  <si>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</si>
  <si>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</si>
  <si>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</si>
  <si>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</si>
  <si>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</si>
  <si>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</si>
  <si>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</si>
  <si>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</si>
  <si>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</si>
  <si>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</si>
  <si>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</si>
  <si>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</si>
  <si>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</si>
  <si>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</si>
  <si>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</si>
  <si>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</si>
  <si>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</si>
  <si>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</si>
  <si>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</si>
  <si>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</si>
  <si>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</si>
  <si>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</si>
  <si>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</si>
  <si>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</si>
  <si>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</si>
  <si>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</si>
  <si>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</si>
  <si>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</si>
  <si>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</si>
  <si>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</si>
  <si>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</si>
  <si>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</si>
  <si>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</si>
  <si>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</si>
  <si>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</si>
  <si>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</si>
  <si>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</si>
  <si>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</si>
  <si>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</si>
  <si>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</si>
  <si>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</si>
  <si>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</si>
  <si>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</si>
  <si>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</si>
  <si>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</si>
  <si>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</si>
  <si>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</si>
  <si>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</si>
  <si>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</si>
  <si>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</si>
  <si>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</si>
  <si>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</si>
  <si>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</si>
  <si>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</si>
  <si>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</si>
  <si>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</si>
  <si>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</si>
  <si>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</si>
  <si>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</si>
  <si>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</si>
  <si>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</si>
  <si>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</si>
  <si>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</si>
  <si>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</si>
  <si>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</si>
  <si>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</si>
  <si>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</si>
  <si>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</si>
  <si>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</si>
  <si>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</si>
  <si>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</si>
  <si>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</si>
  <si>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</si>
  <si>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</si>
  <si>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</si>
  <si>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</si>
  <si>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</si>
  <si>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</si>
  <si>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</si>
  <si>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</si>
  <si>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</si>
  <si>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</si>
  <si>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</si>
  <si>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</si>
  <si>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</si>
  <si>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</si>
  <si>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</si>
  <si>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</si>
  <si>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</si>
  <si>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</si>
  <si>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</si>
  <si>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</si>
  <si>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</si>
  <si>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</si>
  <si>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</si>
  <si>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</si>
  <si>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</si>
  <si>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</si>
  <si>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</si>
  <si>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</si>
  <si>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</si>
  <si>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</si>
  <si>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</si>
  <si>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</si>
  <si>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</si>
  <si>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</si>
  <si>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</si>
  <si>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</si>
  <si>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</si>
  <si>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</si>
  <si>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</si>
  <si>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</si>
  <si>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</si>
  <si>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</si>
  <si>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</si>
  <si>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</si>
  <si>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</si>
  <si>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</si>
  <si>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</si>
  <si>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</si>
  <si>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</si>
  <si>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</si>
  <si>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</si>
  <si>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</si>
  <si>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</si>
  <si>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</si>
  <si>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</si>
  <si>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</si>
  <si>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</si>
  <si>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</si>
  <si>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</si>
  <si>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</si>
  <si>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</si>
  <si>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</si>
  <si>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</si>
  <si>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</si>
  <si>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</si>
  <si>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</si>
  <si>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</si>
  <si>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</si>
  <si>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</si>
  <si>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</si>
  <si>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</si>
  <si>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</si>
  <si>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</si>
  <si>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</si>
  <si>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</si>
  <si>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</si>
  <si>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</si>
  <si>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</si>
  <si>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</si>
  <si>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</si>
  <si>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</si>
  <si>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</si>
  <si>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</si>
  <si>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</si>
  <si>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</si>
  <si>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</si>
  <si>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</si>
  <si>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</si>
  <si>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</si>
  <si>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</si>
  <si>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</si>
  <si>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</si>
  <si>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</si>
  <si>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</si>
  <si>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</si>
  <si>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</si>
  <si>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</si>
  <si>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</si>
  <si>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</si>
  <si>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</si>
  <si>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</si>
  <si>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</si>
  <si>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</si>
  <si>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</si>
  <si>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</si>
  <si>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</si>
  <si>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</si>
  <si>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</si>
  <si>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</si>
  <si>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</si>
  <si>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</si>
  <si>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</si>
  <si>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</si>
  <si>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</si>
  <si>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</si>
  <si>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</si>
  <si>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</si>
  <si>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</si>
  <si>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</si>
  <si>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</si>
  <si>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</si>
  <si>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</si>
  <si>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</si>
  <si>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</si>
  <si>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</si>
  <si>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</si>
  <si>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</si>
  <si>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</si>
  <si>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</si>
  <si>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</si>
  <si>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</si>
  <si>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</si>
  <si>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</si>
  <si>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</si>
  <si>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</si>
  <si>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</si>
  <si>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</si>
  <si>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</si>
  <si>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</si>
  <si>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</si>
  <si>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</si>
  <si>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</si>
  <si>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</si>
  <si>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</si>
  <si>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</si>
  <si>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</si>
  <si>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</si>
  <si>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</si>
  <si>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</si>
  <si>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</si>
  <si>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</si>
  <si>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</si>
  <si>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</si>
  <si>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</si>
  <si>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</si>
  <si>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</si>
  <si>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</si>
  <si>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</si>
  <si>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</si>
  <si>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</si>
  <si>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</si>
  <si>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</si>
  <si>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</si>
  <si>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</si>
  <si>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</si>
  <si>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</si>
  <si>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</si>
  <si>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</si>
  <si>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</si>
  <si>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</si>
  <si>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</si>
  <si>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</si>
  <si>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</si>
  <si>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</si>
  <si>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</si>
  <si>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</si>
  <si>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</si>
  <si>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</si>
  <si>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</si>
  <si>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</si>
  <si>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</si>
  <si>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</si>
  <si>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</si>
  <si>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</si>
  <si>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</si>
  <si>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</si>
  <si>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</si>
  <si>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</si>
  <si>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</si>
  <si>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</si>
  <si>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</si>
  <si>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</si>
  <si>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</si>
  <si>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</si>
  <si>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</si>
  <si>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</si>
  <si>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</si>
  <si>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</si>
  <si>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</si>
  <si>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</si>
  <si>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</si>
  <si>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</si>
  <si>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</si>
  <si>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</si>
  <si>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</si>
  <si>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</si>
  <si>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</si>
  <si>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</si>
  <si>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</si>
  <si>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</si>
  <si>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</si>
  <si>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</si>
  <si>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</si>
  <si>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</si>
  <si>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</si>
  <si>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</si>
  <si>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</si>
  <si>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</si>
  <si>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</si>
  <si>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</si>
  <si>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</si>
  <si>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</si>
  <si>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</si>
  <si>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</si>
  <si>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</si>
  <si>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</si>
  <si>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</si>
  <si>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</si>
  <si>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</si>
  <si>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</si>
  <si>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</si>
  <si>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</si>
  <si>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</si>
  <si>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</si>
  <si>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</si>
  <si>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</si>
  <si>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</si>
  <si>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</si>
  <si>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</si>
  <si>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</si>
  <si>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</si>
  <si>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</si>
  <si>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</si>
  <si>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</si>
  <si>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</si>
  <si>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</si>
  <si>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</si>
  <si>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</si>
  <si>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</si>
  <si>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</si>
  <si>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</si>
  <si>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</si>
  <si>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</si>
  <si>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</si>
  <si>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</si>
  <si>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</si>
  <si>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</si>
  <si>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</si>
  <si>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</si>
  <si>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</si>
  <si>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</si>
  <si>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</si>
  <si>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</si>
  <si>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</si>
  <si>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</si>
  <si>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</si>
  <si>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</si>
  <si>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</si>
  <si>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</si>
  <si>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</si>
  <si>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</si>
  <si>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</si>
  <si>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</si>
  <si>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</si>
  <si>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</si>
  <si>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</si>
  <si>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</si>
  <si>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</si>
  <si>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</si>
  <si>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</si>
  <si>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</si>
  <si>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</si>
  <si>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</si>
  <si>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</si>
  <si>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</si>
  <si>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</si>
  <si>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</si>
  <si>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</si>
  <si>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</si>
  <si>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</si>
  <si>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</si>
  <si>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</si>
  <si>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</si>
  <si>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</si>
  <si>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</si>
  <si>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</si>
  <si>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</si>
  <si>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</si>
  <si>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</si>
  <si>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</si>
  <si>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</si>
  <si>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</si>
  <si>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</si>
  <si>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</si>
  <si>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</si>
  <si>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</si>
  <si>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</si>
  <si>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</si>
  <si>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</si>
  <si>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</si>
  <si>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</si>
  <si>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</si>
  <si>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</si>
  <si>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</si>
  <si>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</si>
  <si>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</si>
  <si>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</si>
  <si>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</si>
  <si>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</si>
  <si>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</si>
  <si>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</si>
  <si>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</si>
  <si>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</si>
  <si>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</si>
  <si>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</si>
  <si>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</si>
  <si>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</si>
  <si>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</si>
  <si>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</si>
  <si>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</si>
  <si>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</si>
  <si>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</si>
  <si>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</si>
  <si>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</si>
  <si>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</si>
  <si>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</si>
  <si>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</si>
  <si>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</si>
  <si>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</si>
  <si>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</si>
  <si>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</si>
  <si>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</si>
  <si>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</si>
  <si>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</si>
  <si>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</si>
  <si>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</si>
  <si>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</si>
  <si>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</si>
  <si>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</si>
  <si>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</si>
  <si>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</si>
  <si>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</si>
  <si>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</si>
  <si>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</si>
  <si>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</si>
  <si>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</si>
  <si>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</si>
  <si>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</si>
  <si>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</si>
  <si>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</si>
  <si>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</si>
  <si>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</si>
  <si>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</si>
  <si>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</si>
  <si>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</si>
  <si>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</si>
  <si>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</si>
  <si>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</si>
  <si>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</si>
  <si>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</si>
  <si>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</si>
  <si>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</si>
  <si>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</si>
  <si>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</si>
  <si>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</si>
  <si>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</si>
  <si>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</si>
  <si>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</si>
  <si>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</si>
  <si>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</si>
  <si>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</si>
  <si>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</si>
  <si>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</si>
  <si>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</si>
  <si>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</si>
  <si>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</si>
  <si>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</si>
  <si>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</si>
  <si>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</si>
  <si>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</si>
  <si>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</si>
  <si>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</si>
  <si>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</si>
  <si>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</si>
  <si>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</si>
  <si>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</si>
  <si>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</si>
  <si>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</si>
  <si>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</si>
  <si>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</si>
  <si>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</si>
  <si>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</si>
  <si>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</si>
  <si>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</si>
  <si>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</si>
  <si>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</si>
  <si>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</si>
  <si>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</si>
  <si>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</si>
  <si>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</si>
  <si>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</si>
  <si>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ISLAS BALEARES</t>
  </si>
  <si>
    <t>Provincias</t>
  </si>
  <si>
    <t>ILLES BALEARS</t>
  </si>
  <si>
    <t>Resumenes por Partidos Judiciales</t>
  </si>
  <si>
    <t>INCA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</si>
</sst>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a6uCvNfxNuOZT+Po33TgYPbPMWLWmEJQHDFD/jsvGyixrAmn6Dp51C+LSKiCNIVaegvnZ8lyFFzyVXk9sPEhA==" saltValue="S4T7ALalI+6NdGrwkZOD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10.094812164579606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84</v>
      </c>
      <c r="D10" s="239">
        <f>IF(ISNUMBER(Datos!I10),Datos!I10," - ")</f>
        <v>84</v>
      </c>
      <c r="E10" s="240">
        <f>IF(ISNUMBER(Datos!J10),Datos!J10," - ")</f>
        <v>105</v>
      </c>
      <c r="F10" s="240">
        <f>IF(ISNUMBER(Datos!K10),Datos!K10," - ")</f>
        <v>85</v>
      </c>
      <c r="G10" s="1390" t="str">
        <f>IF(Datos!E10&lt;&gt;"",Datos!E10,Datos!D10)</f>
        <v>37</v>
      </c>
      <c r="H10" s="241">
        <f>IF(ISNUMBER(Datos!L10),Datos!L10," - ")</f>
        <v>104</v>
      </c>
      <c r="I10" s="1400" t="str">
        <f>IF(ISNUMBER(Datos!AS10/Datos!BM10),Datos!AS10/Datos!BM10," - ")</f>
        <v xml:space="preserve"> - </v>
      </c>
      <c r="J10" s="1401">
        <f>IF(ISNUMBER(Datos!BY10/Datos!CN10),Datos!BY10/Datos!CN10," - ")</f>
        <v>0</v>
      </c>
      <c r="K10" s="244">
        <f t="shared" ref="K10:K13" si="1">IF(ISNUMBER((E10-F10)/C10),(E10-F10)/C10," - ")</f>
        <v>0.23809523809523808</v>
      </c>
      <c r="L10" s="1402">
        <f>IF(ISNUMBER(NºAsuntos!I10/NºAsuntos!G10),(NºAsuntos!I10/NºAsuntos!G10)*11," - ")</f>
        <v>13.458823529411767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84</v>
      </c>
      <c r="D14" s="1407">
        <f>SUBTOTAL(9,D9:D13)</f>
        <v>84</v>
      </c>
      <c r="E14" s="1408">
        <f>SUBTOTAL(9,E9:E13)</f>
        <v>105</v>
      </c>
      <c r="F14" s="1409">
        <f>SUBTOTAL(9,F9:F13)</f>
        <v>85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2267</v>
      </c>
      <c r="D16" s="239">
        <f>IF(ISNUMBER(IF(D_I="SI",Datos!I16,Datos!I16+Datos!AC16)),IF(D_I="SI",Datos!I16,Datos!I16+Datos!AC16)," - ")</f>
        <v>2267</v>
      </c>
      <c r="E16" s="240">
        <f>IF(ISNUMBER(IF(D_I="SI",Datos!J16,Datos!J16+Datos!AD16)),IF(D_I="SI",Datos!J16,Datos!J16+Datos!AD16)," - ")</f>
        <v>5699</v>
      </c>
      <c r="F16" s="240">
        <f>IF(ISNUMBER(IF(D_I="SI",Datos!K16,Datos!K16+Datos!AE16)),IF(D_I="SI",Datos!K16,Datos!K16+Datos!AE16)," - ")</f>
        <v>5286</v>
      </c>
      <c r="G16" s="1390" t="str">
        <f>IF(Datos!E16&lt;&gt;"",Datos!E16,Datos!D16)</f>
        <v>03</v>
      </c>
      <c r="H16" s="241">
        <f>IF(ISNUMBER(IF(D_I="SI",Datos!L16,Datos!L16+Datos!AF16)),IF(D_I="SI",Datos!L16,Datos!L16+Datos!AF16)," - ")</f>
        <v>2680</v>
      </c>
      <c r="I16" s="1400" t="str">
        <f>IF(ISNUMBER(Datos!AS16/Datos!BM16),Datos!AS16/Datos!BM16," - ")</f>
        <v xml:space="preserve"> - </v>
      </c>
      <c r="J16" s="1401">
        <f>IF(ISNUMBER(Datos!BY16/Datos!CN16),Datos!BY16/Datos!CN16," - ")</f>
        <v>0</v>
      </c>
      <c r="K16" s="244">
        <f t="shared" ref="K16:K22" si="3">IF(ISNUMBER((E16-F16)/C16),(E16-F16)/C16," - ")</f>
        <v>0.18217909131010146</v>
      </c>
      <c r="L16" s="1402">
        <f>IF(ISNUMBER(NºAsuntos!I16/NºAsuntos!G16),(NºAsuntos!I16/NºAsuntos!G16)*11," - ")</f>
        <v>5.5769958380628069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3</v>
      </c>
      <c r="D17" s="239">
        <f>IF(ISNUMBER(IF(D_I="SI",Datos!I17,Datos!I17+Datos!AC17)),IF(D_I="SI",Datos!I17,Datos!I17+Datos!AC17)," - ")</f>
        <v>3</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3</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172</v>
      </c>
      <c r="D18" s="239">
        <f>IF(ISNUMBER(IF(D_I="SI",Datos!I18,Datos!I18+Datos!AC18)),IF(D_I="SI",Datos!I18,Datos!I18+Datos!AC18)," - ")</f>
        <v>172</v>
      </c>
      <c r="E18" s="240">
        <f>IF(ISNUMBER(IF(D_I="SI",Datos!J18,Datos!J18+Datos!AD18)),IF(D_I="SI",Datos!J18,Datos!J18+Datos!AD18)," - ")</f>
        <v>990</v>
      </c>
      <c r="F18" s="240">
        <f>IF(ISNUMBER(IF(D_I="SI",Datos!K18,Datos!K18+Datos!AE18)),IF(D_I="SI",Datos!K18,Datos!K18+Datos!AE18)," - ")</f>
        <v>936</v>
      </c>
      <c r="G18" s="1390" t="str">
        <f>IF(Datos!E18&lt;&gt;"",Datos!E18,Datos!D18)</f>
        <v>37</v>
      </c>
      <c r="H18" s="241">
        <f>IF(ISNUMBER(IF(D_I="SI",Datos!L18,Datos!L18+Datos!AF18)),IF(D_I="SI",Datos!L18,Datos!L18+Datos!AF18)," - ")</f>
        <v>226</v>
      </c>
      <c r="I18" s="1400" t="str">
        <f>IF(ISNUMBER(Datos!AS18/Datos!BM18),Datos!AS18/Datos!BM18," - ")</f>
        <v xml:space="preserve"> - </v>
      </c>
      <c r="J18" s="1401" t="str">
        <f>IF(ISNUMBER((Datos!BY18+Datos!BZ18)/Datos!CN18),(Datos!BY18+Datos!BZ18)/Datos!CN18," - ")</f>
        <v xml:space="preserve"> - </v>
      </c>
      <c r="K18" s="244">
        <f t="shared" si="3"/>
        <v>0.31395348837209303</v>
      </c>
      <c r="L18" s="1402">
        <f>IF(ISNUMBER(NºAsuntos!I18/NºAsuntos!G18),(NºAsuntos!I18/NºAsuntos!G18)*11," - ")</f>
        <v>2.6559829059829059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2442</v>
      </c>
      <c r="D23" s="1407">
        <f>SUBTOTAL(9,D16:D22)</f>
        <v>2442</v>
      </c>
      <c r="E23" s="1408">
        <f>SUBTOTAL(9,E16:E22)</f>
        <v>6689</v>
      </c>
      <c r="F23" s="1408">
        <f>SUBTOTAL(9,F16:F22)</f>
        <v>6222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2526</v>
      </c>
      <c r="D31" s="1435">
        <f>SUBTOTAL(9,D9:D30)</f>
        <v>2526</v>
      </c>
      <c r="E31" s="1436">
        <f>SUBTOTAL(9,E9:E30)</f>
        <v>6794</v>
      </c>
      <c r="F31" s="1436">
        <f>SUBTOTAL(9,F9:F30)</f>
        <v>6307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834</v>
      </c>
      <c r="O37" s="1711"/>
      <c r="P37" s="1711"/>
      <c r="Q37" s="1711"/>
      <c r="R37" s="1711"/>
      <c r="S37" s="1711"/>
      <c r="T37" s="1711"/>
      <c r="U37" s="1711"/>
      <c r="V37" s="1711"/>
      <c r="W37" s="1711"/>
      <c r="Y37" s="1711" t="s">
        <v>835</v>
      </c>
      <c r="Z37" s="1711"/>
      <c r="AA37" s="1711"/>
      <c r="AB37" s="1711"/>
      <c r="AC37" s="1711"/>
    </row>
    <row r="39" spans="2:29">
      <c r="N39" s="1386" t="s">
        <v>836</v>
      </c>
      <c r="O39" s="1706" t="s">
        <v>837</v>
      </c>
      <c r="P39" s="1706"/>
      <c r="Q39" s="1706"/>
      <c r="R39" s="1706"/>
      <c r="S39" s="1706"/>
      <c r="T39" s="1706"/>
      <c r="U39" s="1706"/>
      <c r="V39" s="1706"/>
      <c r="W39" s="1706"/>
      <c r="Y39" s="1386" t="s">
        <v>836</v>
      </c>
      <c r="Z39" s="1709" t="s">
        <v>838</v>
      </c>
      <c r="AA39" s="1709"/>
      <c r="AB39" s="1709"/>
      <c r="AC39" s="1709"/>
    </row>
    <row r="40" spans="2:29">
      <c r="N40" s="1386" t="s">
        <v>839</v>
      </c>
      <c r="O40" s="1706" t="s">
        <v>840</v>
      </c>
      <c r="P40" s="1706"/>
      <c r="Q40" s="1706"/>
      <c r="R40" s="1706"/>
      <c r="S40" s="1706"/>
      <c r="T40" s="1706"/>
      <c r="U40" s="1706"/>
      <c r="V40" s="1706"/>
      <c r="W40" s="1706"/>
      <c r="Y40" s="1386" t="s">
        <v>839</v>
      </c>
      <c r="Z40" s="1709" t="s">
        <v>841</v>
      </c>
      <c r="AA40" s="1709"/>
      <c r="AB40" s="1709"/>
      <c r="AC40" s="1709"/>
    </row>
    <row r="41" spans="2:29">
      <c r="N41" s="1386" t="s">
        <v>842</v>
      </c>
      <c r="O41" s="1706" t="s">
        <v>843</v>
      </c>
      <c r="P41" s="1706"/>
      <c r="Q41" s="1706"/>
      <c r="R41" s="1706"/>
      <c r="S41" s="1706"/>
      <c r="T41" s="1706"/>
      <c r="U41" s="1706"/>
      <c r="V41" s="1706"/>
      <c r="W41" s="1706"/>
      <c r="Y41" s="1386" t="s">
        <v>844</v>
      </c>
      <c r="Z41" s="1709" t="s">
        <v>845</v>
      </c>
      <c r="AA41" s="1709"/>
      <c r="AB41" s="1709"/>
      <c r="AC41" s="1709"/>
    </row>
    <row r="42" spans="2:29">
      <c r="N42" s="1386" t="s">
        <v>846</v>
      </c>
      <c r="O42" s="1706" t="s">
        <v>847</v>
      </c>
      <c r="P42" s="1706"/>
      <c r="Q42" s="1706"/>
      <c r="R42" s="1706"/>
      <c r="S42" s="1706"/>
      <c r="T42" s="1706"/>
      <c r="U42" s="1706"/>
      <c r="V42" s="1706"/>
      <c r="W42" s="1706"/>
      <c r="Y42" s="1386" t="s">
        <v>848</v>
      </c>
      <c r="Z42" s="1709" t="s">
        <v>849</v>
      </c>
      <c r="AA42" s="1709"/>
      <c r="AB42" s="1709"/>
      <c r="AC42" s="1709"/>
    </row>
    <row r="43" spans="2:29">
      <c r="N43" s="1386" t="s">
        <v>936</v>
      </c>
      <c r="O43" s="1706" t="s">
        <v>937</v>
      </c>
      <c r="P43" s="1706"/>
      <c r="Q43" s="1706"/>
      <c r="R43" s="1706"/>
      <c r="S43" s="1706"/>
      <c r="T43" s="1706"/>
      <c r="U43" s="1706"/>
      <c r="V43" s="1706"/>
      <c r="W43" s="1706"/>
      <c r="Y43" s="1386" t="s">
        <v>842</v>
      </c>
      <c r="Z43" s="1709" t="s">
        <v>843</v>
      </c>
      <c r="AA43" s="1709"/>
      <c r="AB43" s="1709"/>
      <c r="AC43" s="1709"/>
    </row>
    <row r="44" spans="2:29">
      <c r="N44" s="1386" t="s">
        <v>850</v>
      </c>
      <c r="O44" s="1706" t="s">
        <v>851</v>
      </c>
      <c r="P44" s="1706"/>
      <c r="Q44" s="1706"/>
      <c r="R44" s="1706"/>
      <c r="S44" s="1706"/>
      <c r="T44" s="1706"/>
      <c r="U44" s="1706"/>
      <c r="V44" s="1706"/>
      <c r="W44" s="1706"/>
      <c r="Y44" s="1386" t="s">
        <v>846</v>
      </c>
      <c r="Z44" s="1709" t="s">
        <v>847</v>
      </c>
      <c r="AA44" s="1709"/>
      <c r="AB44" s="1709"/>
      <c r="AC44" s="1709"/>
    </row>
    <row r="45" spans="2:29">
      <c r="N45" s="1386" t="s">
        <v>852</v>
      </c>
      <c r="O45" s="1706" t="s">
        <v>853</v>
      </c>
      <c r="P45" s="1706"/>
      <c r="Q45" s="1706"/>
      <c r="R45" s="1706"/>
      <c r="S45" s="1706"/>
      <c r="T45" s="1706"/>
      <c r="U45" s="1706"/>
      <c r="V45" s="1706"/>
      <c r="W45" s="1706"/>
      <c r="Y45" s="1386" t="s">
        <v>855</v>
      </c>
      <c r="Z45" s="1709" t="s">
        <v>856</v>
      </c>
      <c r="AA45" s="1709"/>
      <c r="AB45" s="1709"/>
      <c r="AC45" s="1709"/>
    </row>
    <row r="46" spans="2:29">
      <c r="N46" s="1386" t="s">
        <v>844</v>
      </c>
      <c r="O46" s="1706" t="s">
        <v>854</v>
      </c>
      <c r="P46" s="1706"/>
      <c r="Q46" s="1706"/>
      <c r="R46" s="1706"/>
      <c r="S46" s="1706"/>
      <c r="T46" s="1706"/>
      <c r="U46" s="1706"/>
      <c r="V46" s="1706"/>
      <c r="W46" s="1706"/>
      <c r="Y46" s="1386" t="s">
        <v>858</v>
      </c>
      <c r="Z46" s="1709" t="s">
        <v>859</v>
      </c>
      <c r="AA46" s="1709"/>
      <c r="AB46" s="1709"/>
      <c r="AC46" s="1709"/>
    </row>
    <row r="47" spans="2:29">
      <c r="N47" s="1386" t="s">
        <v>848</v>
      </c>
      <c r="O47" s="1706" t="s">
        <v>857</v>
      </c>
      <c r="P47" s="1706"/>
      <c r="Q47" s="1706"/>
      <c r="R47" s="1706"/>
      <c r="S47" s="1706"/>
      <c r="T47" s="1706"/>
      <c r="U47" s="1706"/>
      <c r="V47" s="1706"/>
      <c r="W47" s="1706"/>
      <c r="Y47" s="1387" t="s">
        <v>861</v>
      </c>
      <c r="Z47" s="1707" t="s">
        <v>862</v>
      </c>
      <c r="AA47" s="1707"/>
      <c r="AB47" s="1707"/>
      <c r="AC47" s="1707"/>
    </row>
    <row r="48" spans="2:29">
      <c r="N48" s="1386" t="s">
        <v>855</v>
      </c>
      <c r="O48" s="1706" t="s">
        <v>860</v>
      </c>
      <c r="P48" s="1706"/>
      <c r="Q48" s="1706"/>
      <c r="R48" s="1706"/>
      <c r="S48" s="1706"/>
      <c r="T48" s="1706"/>
      <c r="U48" s="1706"/>
      <c r="V48" s="1706"/>
      <c r="W48" s="1706"/>
      <c r="Y48" s="1386" t="s">
        <v>850</v>
      </c>
      <c r="Z48" s="1709" t="s">
        <v>851</v>
      </c>
      <c r="AA48" s="1709"/>
      <c r="AB48" s="1709"/>
      <c r="AC48" s="1709"/>
    </row>
    <row r="49" spans="14:29">
      <c r="N49" s="1386" t="s">
        <v>863</v>
      </c>
      <c r="O49" s="1706" t="s">
        <v>864</v>
      </c>
      <c r="P49" s="1706"/>
      <c r="Q49" s="1706"/>
      <c r="R49" s="1706"/>
      <c r="S49" s="1706"/>
      <c r="T49" s="1706"/>
      <c r="U49" s="1706"/>
      <c r="V49" s="1706"/>
      <c r="W49" s="1706"/>
      <c r="Y49" s="1388" t="s">
        <v>852</v>
      </c>
      <c r="Z49" s="1710" t="s">
        <v>853</v>
      </c>
      <c r="AA49" s="1710"/>
      <c r="AB49" s="1710"/>
      <c r="AC49" s="1710"/>
    </row>
    <row r="50" spans="14:29">
      <c r="N50" s="1386" t="s">
        <v>858</v>
      </c>
      <c r="O50" s="1706" t="s">
        <v>865</v>
      </c>
      <c r="P50" s="1706"/>
      <c r="Q50" s="1706"/>
      <c r="R50" s="1706"/>
      <c r="S50" s="1706"/>
      <c r="T50" s="1706"/>
      <c r="U50" s="1706"/>
      <c r="V50" s="1706"/>
      <c r="W50" s="1706"/>
    </row>
    <row r="51" spans="14:29">
      <c r="N51" s="1388" t="s">
        <v>861</v>
      </c>
      <c r="O51" s="1708" t="s">
        <v>866</v>
      </c>
      <c r="P51" s="1708"/>
      <c r="Q51" s="1708"/>
      <c r="R51" s="1708"/>
      <c r="S51" s="1708"/>
      <c r="T51" s="1708"/>
      <c r="U51" s="1708"/>
      <c r="V51" s="1708"/>
      <c r="W51" s="1708"/>
    </row>
  </sheetData>
  <sheetProtection algorithmName="SHA-512" hashValue="ymG9JousVj0D1HqzrMpkvmboMKZjep0PKdmIlkdCXKceNfKNe3FBP1PmZK/nRmdYvV7br9QT72ZKcNF4WyumVg==" saltValue="8/4H5r1yXN61z4UxNPnjo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eK787gGcmWr8ogkp59OdAH9sCZ54ceBWIVsO8b3/RCUY0l5KkeZvM9hh1oSQNBn6d5ZhZU7hywwCXkk8BYWsw==" saltValue="LAJXOVJX9YH/38/j2OdF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636</v>
      </c>
      <c r="DL5" s="1774" t="s">
        <v>640</v>
      </c>
      <c r="DM5" s="1777" t="s">
        <v>706</v>
      </c>
      <c r="DN5" s="1777" t="s">
        <v>707</v>
      </c>
      <c r="DO5" s="1777" t="s">
        <v>708</v>
      </c>
      <c r="DP5" s="1777" t="s">
        <v>709</v>
      </c>
      <c r="DQ5" s="1777" t="s">
        <v>710</v>
      </c>
      <c r="DR5" s="1777" t="s">
        <v>711</v>
      </c>
      <c r="DS5" s="1777" t="s">
        <v>712</v>
      </c>
      <c r="DT5" s="1777" t="s">
        <v>713</v>
      </c>
      <c r="DU5" s="1778" t="s">
        <v>714</v>
      </c>
      <c r="DV5" s="1756" t="s">
        <v>715</v>
      </c>
      <c r="DW5" s="1753" t="s">
        <v>716</v>
      </c>
      <c r="DX5" s="1777" t="s">
        <v>717</v>
      </c>
      <c r="DY5" s="1750" t="s">
        <v>718</v>
      </c>
      <c r="DZ5" s="1753" t="s">
        <v>719</v>
      </c>
      <c r="EA5" s="1750" t="s">
        <v>720</v>
      </c>
      <c r="EB5" s="1784" t="s">
        <v>780</v>
      </c>
      <c r="EC5" s="1784" t="s">
        <v>781</v>
      </c>
      <c r="ED5" s="1784" t="s">
        <v>782</v>
      </c>
      <c r="EE5" s="1784" t="s">
        <v>822</v>
      </c>
      <c r="EF5" s="1784" t="s">
        <v>826</v>
      </c>
      <c r="EG5" s="1750" t="s">
        <v>824</v>
      </c>
      <c r="EH5" s="1750" t="s">
        <v>825</v>
      </c>
      <c r="EI5" s="1750" t="s">
        <v>784</v>
      </c>
      <c r="EJ5" s="1750" t="s">
        <v>785</v>
      </c>
      <c r="EK5" s="1765" t="s">
        <v>873</v>
      </c>
      <c r="EL5" s="1768" t="s">
        <v>891</v>
      </c>
      <c r="EM5" s="1769"/>
      <c r="EN5" s="1770"/>
      <c r="EO5" s="1762" t="s">
        <v>991</v>
      </c>
      <c r="EP5" s="1762" t="s">
        <v>993</v>
      </c>
      <c r="EQ5" s="1762" t="s">
        <v>994</v>
      </c>
      <c r="ER5" s="1762" t="s">
        <v>999</v>
      </c>
      <c r="ES5" s="1762" t="s">
        <v>1009</v>
      </c>
      <c r="ET5" s="1759" t="s">
        <v>1097</v>
      </c>
      <c r="EU5" s="1759" t="s">
        <v>1098</v>
      </c>
      <c r="EV5" s="1870" t="s">
        <v>1119</v>
      </c>
      <c r="EW5" s="1870" t="s">
        <v>1125</v>
      </c>
      <c r="EX5" s="1867" t="s">
        <v>1162</v>
      </c>
      <c r="EY5" s="1861" t="s">
        <v>1176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990</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892</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1099</v>
      </c>
      <c r="EU8" s="1519" t="s">
        <v>1100</v>
      </c>
      <c r="EV8" s="165" t="s">
        <v>1108</v>
      </c>
      <c r="EW8" s="165">
        <v>153</v>
      </c>
      <c r="EX8" s="532" t="s">
        <v>1161</v>
      </c>
      <c r="EY8" s="532" t="s">
        <v>1175</v>
      </c>
    </row>
    <row r="9" spans="1:155" ht="14.25" customHeight="1">
      <c r="A9" s="20" t="s">
        <v>72</v>
      </c>
      <c r="B9" s="21" t="s">
        <v>519</v>
      </c>
      <c r="C9" s="22" t="s">
        <v>8</v>
      </c>
      <c r="D9" s="23" t="s">
        <v>25</v>
      </c>
      <c r="E9" s="21" t="s">
        <v>26</v>
      </c>
      <c r="F9" s="21">
        <v>32</v>
      </c>
      <c r="G9" s="6"/>
      <c r="H9" s="146" t="s">
        <v>320</v>
      </c>
      <c r="I9" s="193">
        <v>5161</v>
      </c>
      <c r="J9" s="194">
        <v>6964</v>
      </c>
      <c r="K9" s="194">
        <v>6179</v>
      </c>
      <c r="L9" s="194">
        <v>6003</v>
      </c>
      <c r="M9" s="194">
        <v>1483</v>
      </c>
      <c r="N9" s="194">
        <v>2615</v>
      </c>
      <c r="O9" s="194">
        <v>2744</v>
      </c>
      <c r="P9" s="194">
        <v>1262</v>
      </c>
      <c r="Q9" s="194">
        <v>1058</v>
      </c>
      <c r="R9" s="194">
        <v>8068</v>
      </c>
      <c r="S9" s="194">
        <v>4610</v>
      </c>
      <c r="T9" s="194">
        <v>6064</v>
      </c>
      <c r="U9" s="194">
        <v>5399</v>
      </c>
      <c r="V9" s="194">
        <v>5161</v>
      </c>
      <c r="W9" s="194">
        <v>1266</v>
      </c>
      <c r="X9" s="201">
        <v>2549</v>
      </c>
      <c r="Y9" s="204">
        <v>208</v>
      </c>
      <c r="Z9" s="194">
        <v>484</v>
      </c>
      <c r="AA9" s="194">
        <v>529</v>
      </c>
      <c r="AB9" s="194">
        <v>153</v>
      </c>
      <c r="AC9" s="194">
        <v>0</v>
      </c>
      <c r="AD9" s="194">
        <v>0</v>
      </c>
      <c r="AE9" s="194">
        <v>0</v>
      </c>
      <c r="AF9" s="201">
        <v>0</v>
      </c>
      <c r="AG9" s="204">
        <v>152</v>
      </c>
      <c r="AH9" s="194">
        <v>516</v>
      </c>
      <c r="AI9" s="194">
        <v>465</v>
      </c>
      <c r="AJ9" s="205">
        <v>208</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4762</v>
      </c>
      <c r="AZ9" s="133">
        <f>IF(ISNUMBER(IF(J_V="SI",T9,T9+AH9)),IF(J_V="SI",T9,T9+AH9)," - ")</f>
        <v>6580</v>
      </c>
      <c r="BA9" s="134">
        <f>IF(ISNUMBER(IF(J_V="SI",U9,U9+AI9)),IF(J_V="SI",U9,U9+AI9)," - ")</f>
        <v>5864</v>
      </c>
      <c r="BB9" s="134">
        <f>IF(ISNUMBER(IF(J_V="SI",V9,V9+AJ9)),IF(J_V="SI",V9,V9+AJ9)," - ")</f>
        <v>5369</v>
      </c>
      <c r="BC9" s="135">
        <f>IF(ISNUMBER(X9),X9," - ")</f>
        <v>2549</v>
      </c>
      <c r="BD9" s="136">
        <f>IF(ISNUMBER(BA9/AZ9),BA9/AZ9," - ")</f>
        <v>0.89118541033434651</v>
      </c>
      <c r="BE9" s="137">
        <f>IF(ISNUMBER(BB9/BA9),BB9/BA9, " - ")</f>
        <v>0.9155866302864939</v>
      </c>
      <c r="BF9" s="137">
        <f>IF(ISNUMBER(BC9/BA9),BC9/BA9, " - ")</f>
        <v>0.43468622100954979</v>
      </c>
      <c r="BG9" s="209">
        <f>IF(ISNUMBER((AY9+AZ9)/BA9),(AY9+AZ9)/BA9," - ")</f>
        <v>1.934174624829468</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1134</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84</v>
      </c>
      <c r="J10" s="194">
        <v>105</v>
      </c>
      <c r="K10" s="194">
        <v>85</v>
      </c>
      <c r="L10" s="194">
        <v>104</v>
      </c>
      <c r="M10" s="194">
        <v>27</v>
      </c>
      <c r="N10" s="194">
        <v>39</v>
      </c>
      <c r="O10" s="194">
        <v>5</v>
      </c>
      <c r="P10" s="194">
        <v>10</v>
      </c>
      <c r="Q10" s="194">
        <v>6</v>
      </c>
      <c r="R10" s="194">
        <v>33</v>
      </c>
      <c r="S10" s="194">
        <v>78</v>
      </c>
      <c r="T10" s="194">
        <v>95</v>
      </c>
      <c r="U10" s="194">
        <v>89</v>
      </c>
      <c r="V10" s="194">
        <v>84</v>
      </c>
      <c r="W10" s="194">
        <v>44</v>
      </c>
      <c r="X10" s="201">
        <v>16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1058</v>
      </c>
      <c r="AT10" s="205"/>
      <c r="AU10" s="213"/>
      <c r="AV10" s="205"/>
      <c r="AW10" s="213"/>
      <c r="AX10" s="205"/>
      <c r="AY10" s="138">
        <f t="shared" ref="AY10:BC10" si="0">IF(ISNUMBER(S10),S10," - ")</f>
        <v>78</v>
      </c>
      <c r="AZ10" s="139">
        <f t="shared" si="0"/>
        <v>95</v>
      </c>
      <c r="BA10" s="139">
        <f t="shared" si="0"/>
        <v>89</v>
      </c>
      <c r="BB10" s="139">
        <f t="shared" si="0"/>
        <v>84</v>
      </c>
      <c r="BC10" s="135">
        <f t="shared" si="0"/>
        <v>44</v>
      </c>
      <c r="BD10" s="136">
        <f>IF(ISNUMBER(BA10/AZ10),BA10/AZ10," - ")</f>
        <v>0.93684210526315792</v>
      </c>
      <c r="BE10" s="137">
        <f>IF(ISNUMBER(BB10/BA10),BB10/BA10, " - ")</f>
        <v>0.9438202247191011</v>
      </c>
      <c r="BF10" s="137">
        <f>IF(ISNUMBER(BC10/BA10),BC10/BA10, " - ")</f>
        <v>0.4943820224719101</v>
      </c>
      <c r="BG10" s="209">
        <f>IF(ISNUMBER((AY10+AZ10)/BA10),(AY10+AZ10)/BA10," - ")</f>
        <v>1.9438202247191012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1078</v>
      </c>
      <c r="J11" s="196" t="s">
        <v>1065</v>
      </c>
      <c r="K11" s="196" t="s">
        <v>1141</v>
      </c>
      <c r="L11" s="196" t="s">
        <v>1083</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1137</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1078</v>
      </c>
      <c r="J12" s="196" t="s">
        <v>1065</v>
      </c>
      <c r="K12" s="196" t="s">
        <v>1141</v>
      </c>
      <c r="L12" s="196" t="s">
        <v>1083</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1135</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5245</v>
      </c>
      <c r="J14" s="197">
        <f t="shared" si="7"/>
        <v>7069</v>
      </c>
      <c r="K14" s="197">
        <f t="shared" si="7"/>
        <v>6264</v>
      </c>
      <c r="L14" s="197">
        <f t="shared" si="7"/>
        <v>6107</v>
      </c>
      <c r="M14" s="197">
        <f t="shared" si="7"/>
        <v>1510</v>
      </c>
      <c r="N14" s="197">
        <f t="shared" si="7"/>
        <v>2654</v>
      </c>
      <c r="O14" s="197">
        <f t="shared" si="7"/>
        <v>2749</v>
      </c>
      <c r="P14" s="197">
        <f t="shared" si="7"/>
        <v>1272</v>
      </c>
      <c r="Q14" s="197">
        <f t="shared" si="7"/>
        <v>1064</v>
      </c>
      <c r="R14" s="197">
        <f t="shared" si="7"/>
        <v>8101</v>
      </c>
      <c r="S14" s="197">
        <f t="shared" si="7"/>
        <v>4688</v>
      </c>
      <c r="T14" s="197">
        <f t="shared" si="7"/>
        <v>6159</v>
      </c>
      <c r="U14" s="197">
        <f t="shared" si="7"/>
        <v>5488</v>
      </c>
      <c r="V14" s="197">
        <f t="shared" si="7"/>
        <v>5245</v>
      </c>
      <c r="W14" s="197">
        <f t="shared" si="7"/>
        <v>1310</v>
      </c>
      <c r="X14" s="197">
        <f t="shared" si="7"/>
        <v>2565</v>
      </c>
      <c r="Y14" s="197">
        <f t="shared" si="7"/>
        <v>208</v>
      </c>
      <c r="Z14" s="197">
        <f t="shared" si="7"/>
        <v>484</v>
      </c>
      <c r="AA14" s="197">
        <f t="shared" si="7"/>
        <v>529</v>
      </c>
      <c r="AB14" s="197">
        <f t="shared" si="7"/>
        <v>153</v>
      </c>
      <c r="AC14" s="197">
        <f t="shared" si="7"/>
        <v>0</v>
      </c>
      <c r="AD14" s="197">
        <f t="shared" si="7"/>
        <v>0</v>
      </c>
      <c r="AE14" s="197">
        <f t="shared" si="7"/>
        <v>0</v>
      </c>
      <c r="AF14" s="197">
        <f>SUBTOTAL(9,AF9:AF13)</f>
        <v>0</v>
      </c>
      <c r="AG14" s="197">
        <f t="shared" ref="AG14:AT14" si="8">SUBTOTAL(9,AG8:AG13)</f>
        <v>152</v>
      </c>
      <c r="AH14" s="197">
        <f t="shared" si="8"/>
        <v>516</v>
      </c>
      <c r="AI14" s="197">
        <f t="shared" si="8"/>
        <v>465</v>
      </c>
      <c r="AJ14" s="197">
        <f t="shared" si="8"/>
        <v>208</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4840</v>
      </c>
      <c r="AZ14" s="197">
        <f>SUBTOTAL(9,AZ8:AZ13)</f>
        <v>6675</v>
      </c>
      <c r="BA14" s="197">
        <f>SUBTOTAL(9,BA8:BA13)</f>
        <v>5953</v>
      </c>
      <c r="BB14" s="197">
        <f>SUBTOTAL(9,BB8:BB13)</f>
        <v>5453</v>
      </c>
      <c r="BC14" s="197">
        <f>SUBTOTAL(9,BC8:BC13)</f>
        <v>2593</v>
      </c>
      <c r="BD14" s="219">
        <f>IF(ISNUMBER(BA14/AZ14),BA14/AZ14," - ")</f>
        <v>0.89183520599250932</v>
      </c>
      <c r="BE14" s="220">
        <f>IF(ISNUMBER(BB14/BA14),BB14/BA14, " - ")</f>
        <v>0.91600873509155045</v>
      </c>
      <c r="BF14" s="220">
        <f>IF(ISNUMBER(BC14/BA14),BC14/BA14, " - ")</f>
        <v>0.43557869981521924</v>
      </c>
      <c r="BG14" s="221">
        <f>IF(ISNUMBER((AY14+AZ14)/BA14),(AY14+AZ14)/BA14," - ")</f>
        <v>1.9343188308415924</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2267</v>
      </c>
      <c r="J16" s="196">
        <v>5699</v>
      </c>
      <c r="K16" s="196">
        <v>5286</v>
      </c>
      <c r="L16" s="196">
        <v>2680</v>
      </c>
      <c r="M16" s="196">
        <v>727</v>
      </c>
      <c r="N16" s="196">
        <v>3357</v>
      </c>
      <c r="O16" s="194">
        <v>98</v>
      </c>
      <c r="P16" s="196">
        <v>135</v>
      </c>
      <c r="Q16" s="196">
        <v>133</v>
      </c>
      <c r="R16" s="196">
        <v>250</v>
      </c>
      <c r="S16" s="196">
        <v>2155</v>
      </c>
      <c r="T16" s="196">
        <v>5543</v>
      </c>
      <c r="U16" s="196">
        <v>5436</v>
      </c>
      <c r="V16" s="196">
        <v>2267</v>
      </c>
      <c r="W16" s="196">
        <v>677</v>
      </c>
      <c r="X16" s="202">
        <v>3589</v>
      </c>
      <c r="Y16" s="215">
        <v>0</v>
      </c>
      <c r="Z16" s="196">
        <v>0</v>
      </c>
      <c r="AA16" s="196">
        <v>0</v>
      </c>
      <c r="AB16" s="196">
        <v>0</v>
      </c>
      <c r="AC16" s="196">
        <v>0</v>
      </c>
      <c r="AD16" s="196">
        <v>39</v>
      </c>
      <c r="AE16" s="196">
        <v>39</v>
      </c>
      <c r="AF16" s="202">
        <v>0</v>
      </c>
      <c r="AG16" s="215">
        <v>0</v>
      </c>
      <c r="AH16" s="196">
        <v>0</v>
      </c>
      <c r="AI16" s="196">
        <v>0</v>
      </c>
      <c r="AJ16" s="216">
        <v>0</v>
      </c>
      <c r="AK16" s="195">
        <v>0</v>
      </c>
      <c r="AL16" s="196">
        <v>44</v>
      </c>
      <c r="AM16" s="196">
        <v>44</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2155</v>
      </c>
      <c r="AZ16" s="139">
        <f t="shared" si="10"/>
        <v>5543</v>
      </c>
      <c r="BA16" s="139">
        <f t="shared" si="10"/>
        <v>5436</v>
      </c>
      <c r="BB16" s="139">
        <f t="shared" si="10"/>
        <v>2267</v>
      </c>
      <c r="BC16" s="135">
        <f>IF(ISNUMBER(W16),W16," - ")</f>
        <v>677</v>
      </c>
      <c r="BD16" s="136">
        <f>IF(ISNUMBER(BA16/AZ16),BA16/AZ16," - ")</f>
        <v>0.98069637380479879</v>
      </c>
      <c r="BE16" s="137">
        <f>IF(ISNUMBER(BB16/BA16),BB16/BA16, " - ")</f>
        <v>0.41703458425312728</v>
      </c>
      <c r="BF16" s="137">
        <f>IF(ISNUMBER(BC16/BA16),BC16/BA16, " - ")</f>
        <v>0.12454010301692421</v>
      </c>
      <c r="BG16" s="209">
        <f t="shared" ref="BG16:BG22" si="11">IF(ISNUMBER((AY16+AZ16)/BA16),(AY16+AZ16)/BA16," - ")</f>
        <v>1.4161147902869757</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v>
      </c>
      <c r="J17" s="196">
        <v>0</v>
      </c>
      <c r="K17" s="196">
        <v>0</v>
      </c>
      <c r="L17" s="196">
        <v>3</v>
      </c>
      <c r="M17" s="196">
        <v>0</v>
      </c>
      <c r="N17" s="196">
        <v>0</v>
      </c>
      <c r="O17" s="194">
        <v>0</v>
      </c>
      <c r="P17" s="196">
        <v>0</v>
      </c>
      <c r="Q17" s="196">
        <v>1</v>
      </c>
      <c r="R17" s="196">
        <v>1</v>
      </c>
      <c r="S17" s="196">
        <v>7</v>
      </c>
      <c r="T17" s="196">
        <v>0</v>
      </c>
      <c r="U17" s="196">
        <v>4</v>
      </c>
      <c r="V17" s="196">
        <v>3</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7</v>
      </c>
      <c r="AZ17" s="137">
        <f t="shared" si="10"/>
        <v>0</v>
      </c>
      <c r="BA17" s="137">
        <f t="shared" si="10"/>
        <v>4</v>
      </c>
      <c r="BB17" s="137">
        <f t="shared" si="10"/>
        <v>3</v>
      </c>
      <c r="BC17" s="135">
        <f>IF(ISNUMBER(W17),W17," - ")</f>
        <v>0</v>
      </c>
      <c r="BD17" s="136" t="str">
        <f t="shared" ref="BD17:BD22" si="12">IF(ISNUMBER(BA17/AZ17),BA17/AZ17," - ")</f>
        <v xml:space="preserve"> - </v>
      </c>
      <c r="BE17" s="137">
        <f t="shared" ref="BE17:BE22" si="13">IF(ISNUMBER(BB17/BA17),BB17/BA17, " - ")</f>
        <v>0.75</v>
      </c>
      <c r="BF17" s="137">
        <f t="shared" ref="BF17:BF22" si="14">IF(ISNUMBER(BC17/BA17),BC17/BA17, " - ")</f>
        <v>0</v>
      </c>
      <c r="BG17" s="209">
        <f t="shared" si="11"/>
        <v>1.75</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172</v>
      </c>
      <c r="J18" s="196">
        <v>990</v>
      </c>
      <c r="K18" s="196">
        <v>936</v>
      </c>
      <c r="L18" s="196">
        <v>226</v>
      </c>
      <c r="M18" s="196">
        <v>242</v>
      </c>
      <c r="N18" s="196">
        <v>465</v>
      </c>
      <c r="O18" s="196">
        <v>2</v>
      </c>
      <c r="P18" s="196">
        <v>18</v>
      </c>
      <c r="Q18" s="196">
        <v>11</v>
      </c>
      <c r="R18" s="196">
        <v>9</v>
      </c>
      <c r="S18" s="196">
        <v>207</v>
      </c>
      <c r="T18" s="196">
        <v>904</v>
      </c>
      <c r="U18" s="196">
        <v>939</v>
      </c>
      <c r="V18" s="196">
        <v>172</v>
      </c>
      <c r="W18" s="196">
        <v>211</v>
      </c>
      <c r="X18" s="202">
        <v>426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1057</v>
      </c>
      <c r="AT18" s="223"/>
      <c r="AU18" s="213"/>
      <c r="AV18" s="223"/>
      <c r="AW18" s="213"/>
      <c r="AX18" s="223"/>
      <c r="AY18" s="138">
        <f t="shared" ref="AY18:BB19" si="15">IF(ISNUMBER(S18),S18," - ")</f>
        <v>207</v>
      </c>
      <c r="AZ18" s="139">
        <f t="shared" si="15"/>
        <v>904</v>
      </c>
      <c r="BA18" s="139">
        <f t="shared" si="15"/>
        <v>939</v>
      </c>
      <c r="BB18" s="139">
        <f t="shared" si="15"/>
        <v>172</v>
      </c>
      <c r="BC18" s="135">
        <f>IF(ISNUMBER(W18),W18," - ")</f>
        <v>211</v>
      </c>
      <c r="BD18" s="136">
        <f>IF(ISNUMBER(BA18/AZ18),BA18/AZ18," - ")</f>
        <v>1.038716814159292</v>
      </c>
      <c r="BE18" s="137">
        <f>IF(ISNUMBER(BB18/BA18),BB18/BA18, " - ")</f>
        <v>0.18317358892438765</v>
      </c>
      <c r="BF18" s="137">
        <f>IF(ISNUMBER(BC18/BA18),BC18/BA18, " - ")</f>
        <v>0.22470713525026625</v>
      </c>
      <c r="BG18" s="209">
        <f>IF(ISNUMBER((AY18+AZ18)/BA18),(AY18+AZ18)/BA18," - ")</f>
        <v>1.1831735889243877</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2442</v>
      </c>
      <c r="J23" s="197">
        <f t="shared" si="21"/>
        <v>6689</v>
      </c>
      <c r="K23" s="197">
        <f t="shared" si="21"/>
        <v>6222</v>
      </c>
      <c r="L23" s="197">
        <f t="shared" si="21"/>
        <v>2909</v>
      </c>
      <c r="M23" s="197">
        <f t="shared" si="21"/>
        <v>969</v>
      </c>
      <c r="N23" s="197">
        <f t="shared" si="21"/>
        <v>3822</v>
      </c>
      <c r="O23" s="197">
        <f t="shared" si="21"/>
        <v>100</v>
      </c>
      <c r="P23" s="197">
        <f t="shared" si="21"/>
        <v>153</v>
      </c>
      <c r="Q23" s="197">
        <f t="shared" si="21"/>
        <v>145</v>
      </c>
      <c r="R23" s="197">
        <f t="shared" si="21"/>
        <v>260</v>
      </c>
      <c r="S23" s="197">
        <f t="shared" si="21"/>
        <v>2369</v>
      </c>
      <c r="T23" s="197">
        <f t="shared" si="21"/>
        <v>6447</v>
      </c>
      <c r="U23" s="197">
        <f t="shared" si="21"/>
        <v>6379</v>
      </c>
      <c r="V23" s="197">
        <f t="shared" si="21"/>
        <v>2442</v>
      </c>
      <c r="W23" s="197">
        <f t="shared" si="21"/>
        <v>888</v>
      </c>
      <c r="X23" s="197">
        <f t="shared" si="21"/>
        <v>4015</v>
      </c>
      <c r="Y23" s="197">
        <f t="shared" si="21"/>
        <v>0</v>
      </c>
      <c r="Z23" s="197">
        <f t="shared" si="21"/>
        <v>0</v>
      </c>
      <c r="AA23" s="197">
        <f t="shared" si="21"/>
        <v>0</v>
      </c>
      <c r="AB23" s="197">
        <f t="shared" si="21"/>
        <v>0</v>
      </c>
      <c r="AC23" s="197">
        <f t="shared" si="21"/>
        <v>0</v>
      </c>
      <c r="AD23" s="197">
        <f t="shared" si="21"/>
        <v>39</v>
      </c>
      <c r="AE23" s="197">
        <f t="shared" si="21"/>
        <v>39</v>
      </c>
      <c r="AF23" s="197">
        <f t="shared" si="21"/>
        <v>0</v>
      </c>
      <c r="AG23" s="197">
        <f t="shared" si="21"/>
        <v>0</v>
      </c>
      <c r="AH23" s="197">
        <f t="shared" si="21"/>
        <v>0</v>
      </c>
      <c r="AI23" s="197">
        <f t="shared" si="21"/>
        <v>0</v>
      </c>
      <c r="AJ23" s="197">
        <f t="shared" si="21"/>
        <v>0</v>
      </c>
      <c r="AK23" s="197">
        <f t="shared" si="21"/>
        <v>0</v>
      </c>
      <c r="AL23" s="197">
        <f t="shared" si="21"/>
        <v>44</v>
      </c>
      <c r="AM23" s="197">
        <f t="shared" si="21"/>
        <v>44</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2369</v>
      </c>
      <c r="AZ23" s="197">
        <f>SUBTOTAL(9,AZ15:AZ22)</f>
        <v>6447</v>
      </c>
      <c r="BA23" s="197">
        <f>SUBTOTAL(9,BA15:BA22)</f>
        <v>6379</v>
      </c>
      <c r="BB23" s="197">
        <f>SUBTOTAL(9,BB15:BB22)</f>
        <v>2442</v>
      </c>
      <c r="BC23" s="197">
        <f>SUBTOTAL(9,BC15:BC22)</f>
        <v>888</v>
      </c>
      <c r="BD23" s="219">
        <f>IF(ISNUMBER(BA23/AZ23),BA23/AZ23," - ")</f>
        <v>0.98945245850783314</v>
      </c>
      <c r="BE23" s="220">
        <f>IF(ISNUMBER(BB23/BA23),BB23/BA23, " - ")</f>
        <v>0.3828186236087161</v>
      </c>
      <c r="BF23" s="220">
        <f>IF(ISNUMBER(BC23/BA23),BC23/BA23, " - ")</f>
        <v>0.1392067722213513</v>
      </c>
      <c r="BG23" s="221">
        <f>IF(ISNUMBER((AY23+AZ23)/BA23),(AY23+AZ23)/BA23," - ")</f>
        <v>1.3820348016930553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1143</v>
      </c>
      <c r="Q28" s="196" t="s">
        <v>1144</v>
      </c>
      <c r="R28" s="196" t="s">
        <v>1145</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7687</v>
      </c>
      <c r="J31" s="144">
        <f t="shared" si="36"/>
        <v>13758</v>
      </c>
      <c r="K31" s="144">
        <f t="shared" si="36"/>
        <v>12486</v>
      </c>
      <c r="L31" s="144">
        <f t="shared" si="36"/>
        <v>9016</v>
      </c>
      <c r="M31" s="144">
        <f t="shared" si="36"/>
        <v>2479</v>
      </c>
      <c r="N31" s="144">
        <f t="shared" si="36"/>
        <v>6476</v>
      </c>
      <c r="O31" s="144">
        <f t="shared" si="36"/>
        <v>2849</v>
      </c>
      <c r="P31" s="144">
        <f t="shared" si="36"/>
        <v>1425</v>
      </c>
      <c r="Q31" s="144">
        <f t="shared" si="36"/>
        <v>1209</v>
      </c>
      <c r="R31" s="144">
        <f t="shared" si="36"/>
        <v>8361</v>
      </c>
      <c r="S31" s="144">
        <f t="shared" si="36"/>
        <v>7057</v>
      </c>
      <c r="T31" s="144">
        <f t="shared" si="36"/>
        <v>12606</v>
      </c>
      <c r="U31" s="144">
        <f t="shared" si="36"/>
        <v>11867</v>
      </c>
      <c r="V31" s="144">
        <f t="shared" si="36"/>
        <v>7687</v>
      </c>
      <c r="W31" s="144">
        <f t="shared" si="36"/>
        <v>2198</v>
      </c>
      <c r="X31" s="144">
        <f t="shared" si="36"/>
        <v>6580</v>
      </c>
      <c r="Y31" s="144">
        <f t="shared" si="36"/>
        <v>208</v>
      </c>
      <c r="Z31" s="144">
        <f t="shared" si="36"/>
        <v>484</v>
      </c>
      <c r="AA31" s="144">
        <f t="shared" si="36"/>
        <v>529</v>
      </c>
      <c r="AB31" s="144">
        <f t="shared" si="36"/>
        <v>153</v>
      </c>
      <c r="AC31" s="144">
        <f t="shared" si="36"/>
        <v>0</v>
      </c>
      <c r="AD31" s="144">
        <f t="shared" si="36"/>
        <v>39</v>
      </c>
      <c r="AE31" s="144">
        <f t="shared" si="36"/>
        <v>39</v>
      </c>
      <c r="AF31" s="144">
        <f t="shared" si="36"/>
        <v>0</v>
      </c>
      <c r="AG31" s="144">
        <f t="shared" si="36"/>
        <v>152</v>
      </c>
      <c r="AH31" s="144">
        <f t="shared" si="36"/>
        <v>516</v>
      </c>
      <c r="AI31" s="144">
        <f t="shared" si="36"/>
        <v>465</v>
      </c>
      <c r="AJ31" s="144">
        <f t="shared" si="36"/>
        <v>208</v>
      </c>
      <c r="AK31" s="144">
        <f t="shared" si="36"/>
        <v>0</v>
      </c>
      <c r="AL31" s="144">
        <f t="shared" si="36"/>
        <v>44</v>
      </c>
      <c r="AM31" s="144">
        <f t="shared" si="36"/>
        <v>44</v>
      </c>
      <c r="AN31" s="224">
        <f t="shared" si="36"/>
        <v>0</v>
      </c>
      <c r="AO31" s="225">
        <v>9</v>
      </c>
      <c r="AP31" s="225">
        <v>8</v>
      </c>
      <c r="AQ31" s="225">
        <v>8</v>
      </c>
      <c r="AR31" s="225">
        <v>8</v>
      </c>
      <c r="AS31" s="166">
        <f t="shared" si="36"/>
        <v>0</v>
      </c>
      <c r="AT31" s="166">
        <f t="shared" si="36"/>
        <v>0</v>
      </c>
      <c r="AU31" s="225"/>
      <c r="AV31" s="226"/>
      <c r="AW31" s="225"/>
      <c r="AX31" s="226"/>
      <c r="AY31" s="143">
        <f>SUBTOTAL(9,AY9:AY30)</f>
        <v>7209</v>
      </c>
      <c r="AZ31" s="144">
        <f>SUBTOTAL(9,AZ9:AZ30)</f>
        <v>13122</v>
      </c>
      <c r="BA31" s="144">
        <f>SUBTOTAL(9,BA9:BA30)</f>
        <v>12332</v>
      </c>
      <c r="BB31" s="144">
        <f>SUBTOTAL(9,BB9:BB30)</f>
        <v>7895</v>
      </c>
      <c r="BC31" s="145">
        <f>SUBTOTAL(9,BC9:BC30)</f>
        <v>3481</v>
      </c>
      <c r="BD31" s="227">
        <f>IF(ISNUMBER(BA31/AZ31),BA31/AZ31," - ")</f>
        <v>0.93979576284103028</v>
      </c>
      <c r="BE31" s="224">
        <f>IF(ISNUMBER(BB31/BA31),BB31/BA31, " - ")</f>
        <v>0.64020434641582868</v>
      </c>
      <c r="BF31" s="224">
        <f>IF(ISNUMBER(BC31/BA31),BC31/BA31, " - ")</f>
        <v>0.28227375932533244</v>
      </c>
      <c r="BG31" s="145">
        <f>IF(ISNUMBER((AY31+AZ31)/BA31),(AY31+AZ31)/BA31," - ")</f>
        <v>1.6486376905611417</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R7QPtEtWdj050n+MoQtnUuvfBrzASq1asKoMRa765gRh17BtoMnSCQhPTvNW5/ObGxOVmFAmuUoJIRdYFTZKw==" saltValue="VsYhVyXsaGYwCxV/nezSj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636</v>
      </c>
      <c r="DL5" s="1774" t="s">
        <v>639</v>
      </c>
      <c r="DM5" s="1777" t="s">
        <v>706</v>
      </c>
      <c r="DN5" s="1777" t="s">
        <v>707</v>
      </c>
      <c r="DO5" s="1777" t="s">
        <v>708</v>
      </c>
      <c r="DP5" s="1777" t="s">
        <v>709</v>
      </c>
      <c r="DQ5" s="1777" t="s">
        <v>710</v>
      </c>
      <c r="DR5" s="1777" t="s">
        <v>711</v>
      </c>
      <c r="DS5" s="1777" t="s">
        <v>712</v>
      </c>
      <c r="DT5" s="1777" t="s">
        <v>713</v>
      </c>
      <c r="DU5" s="1756" t="s">
        <v>714</v>
      </c>
      <c r="DV5" s="1756" t="s">
        <v>715</v>
      </c>
      <c r="DW5" s="1753" t="s">
        <v>716</v>
      </c>
      <c r="DX5" s="1777" t="s">
        <v>717</v>
      </c>
      <c r="DY5" s="1750" t="s">
        <v>718</v>
      </c>
      <c r="DZ5" s="1753" t="s">
        <v>719</v>
      </c>
      <c r="EA5" s="1750" t="s">
        <v>720</v>
      </c>
      <c r="EB5" s="1784" t="s">
        <v>780</v>
      </c>
      <c r="EC5" s="1784" t="s">
        <v>817</v>
      </c>
      <c r="ED5" s="1784" t="s">
        <v>782</v>
      </c>
      <c r="EE5" s="1784" t="s">
        <v>822</v>
      </c>
      <c r="EF5" s="1784" t="s">
        <v>823</v>
      </c>
      <c r="EG5" s="1750" t="s">
        <v>824</v>
      </c>
      <c r="EH5" s="1750" t="s">
        <v>825</v>
      </c>
      <c r="EI5" s="1750" t="s">
        <v>784</v>
      </c>
      <c r="EJ5" s="1750" t="s">
        <v>785</v>
      </c>
      <c r="EK5" s="1879" t="s">
        <v>873</v>
      </c>
      <c r="EL5" s="1768" t="s">
        <v>891</v>
      </c>
      <c r="EM5" s="1769"/>
      <c r="EN5" s="1770"/>
      <c r="EO5" s="1762" t="s">
        <v>991</v>
      </c>
      <c r="EP5" s="1762" t="s">
        <v>993</v>
      </c>
      <c r="EQ5" s="1762" t="s">
        <v>994</v>
      </c>
      <c r="ER5" s="1762" t="s">
        <v>999</v>
      </c>
      <c r="ES5" s="1762" t="s">
        <v>1009</v>
      </c>
      <c r="ET5" s="1759" t="s">
        <v>1097</v>
      </c>
      <c r="EU5" s="1759" t="s">
        <v>1098</v>
      </c>
      <c r="EV5" s="1790" t="s">
        <v>1119</v>
      </c>
      <c r="EW5" s="1750" t="s">
        <v>1122</v>
      </c>
      <c r="EX5" s="1867" t="s">
        <v>1162</v>
      </c>
      <c r="EY5" s="1861" t="s">
        <v>1176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990</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892</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1099</v>
      </c>
      <c r="EU8" s="1519" t="s">
        <v>1100</v>
      </c>
      <c r="EV8" s="1519" t="s">
        <v>1108</v>
      </c>
      <c r="EW8" s="532" t="s">
        <v>1121</v>
      </c>
      <c r="EX8" s="532" t="s">
        <v>1161</v>
      </c>
      <c r="EY8" s="532" t="s">
        <v>1175</v>
      </c>
    </row>
    <row r="9" spans="1:155" s="788" customFormat="1" ht="14.25" customHeight="1">
      <c r="A9" s="823" t="s">
        <v>72</v>
      </c>
      <c r="B9" s="770" t="s">
        <v>519</v>
      </c>
      <c r="C9" s="771" t="s">
        <v>8</v>
      </c>
      <c r="D9" s="772" t="s">
        <v>25</v>
      </c>
      <c r="E9" s="770" t="s">
        <v>26</v>
      </c>
      <c r="F9" s="770">
        <v>32</v>
      </c>
      <c r="G9" s="773"/>
      <c r="H9" s="824" t="s">
        <v>320</v>
      </c>
      <c r="I9" s="825" t="s">
        <v>1165</v>
      </c>
      <c r="J9" s="775" t="s">
        <v>1167</v>
      </c>
      <c r="K9" s="775" t="s">
        <v>1169</v>
      </c>
      <c r="L9" s="775" t="s">
        <v>1171</v>
      </c>
      <c r="M9" s="775" t="s">
        <v>1173</v>
      </c>
      <c r="N9" s="775" t="s">
        <v>1174</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1069</v>
      </c>
      <c r="AT9" s="832"/>
      <c r="AU9" s="831" t="s">
        <v>1081</v>
      </c>
      <c r="AV9" s="832"/>
      <c r="AW9" s="831" t="s">
        <v>1084</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1139</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1149</v>
      </c>
      <c r="CR9" s="836" t="s">
        <v>642</v>
      </c>
      <c r="CS9" s="530"/>
      <c r="CT9" s="530"/>
      <c r="CU9" s="530"/>
      <c r="CV9" s="530" t="s">
        <v>659</v>
      </c>
      <c r="CW9" s="530" t="s">
        <v>532</v>
      </c>
      <c r="CX9" s="530" t="s">
        <v>454</v>
      </c>
      <c r="CY9" s="530" t="s">
        <v>576</v>
      </c>
      <c r="CZ9" s="530" t="s">
        <v>577</v>
      </c>
      <c r="DA9" s="530" t="s">
        <v>578</v>
      </c>
      <c r="DB9" s="831" t="s">
        <v>1070</v>
      </c>
      <c r="DC9" s="831" t="s">
        <v>1071</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1134</v>
      </c>
      <c r="EP9" s="1318" t="s">
        <v>1156</v>
      </c>
      <c r="EQ9" s="1318" t="s">
        <v>1157</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1077</v>
      </c>
      <c r="J11" s="350" t="s">
        <v>1072</v>
      </c>
      <c r="K11" s="350" t="s">
        <v>1142</v>
      </c>
      <c r="L11" s="350" t="s">
        <v>1085</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1073</v>
      </c>
      <c r="AT11" s="778"/>
      <c r="AU11" s="777" t="s">
        <v>1082</v>
      </c>
      <c r="AV11" s="778"/>
      <c r="AW11" s="777" t="s">
        <v>1086</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1151</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1153</v>
      </c>
      <c r="CR11" s="530" t="s">
        <v>1152</v>
      </c>
      <c r="CS11" s="790"/>
      <c r="CT11" s="530"/>
      <c r="CU11" s="530"/>
      <c r="CV11" s="530" t="s">
        <v>659</v>
      </c>
      <c r="CW11" s="530" t="s">
        <v>439</v>
      </c>
      <c r="CX11" s="530" t="s">
        <v>454</v>
      </c>
      <c r="CY11" s="530" t="s">
        <v>576</v>
      </c>
      <c r="CZ11" s="530" t="s">
        <v>577</v>
      </c>
      <c r="DA11" s="530" t="s">
        <v>578</v>
      </c>
      <c r="DB11" s="363" t="s">
        <v>1074</v>
      </c>
      <c r="DC11" s="363" t="s">
        <v>1075</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1137</v>
      </c>
      <c r="EP11" s="1364" t="s">
        <v>1154</v>
      </c>
      <c r="EQ11" s="1364" t="s">
        <v>1155</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1166</v>
      </c>
      <c r="J12" s="350" t="s">
        <v>1168</v>
      </c>
      <c r="K12" s="350" t="s">
        <v>1170</v>
      </c>
      <c r="L12" s="350" t="s">
        <v>1172</v>
      </c>
      <c r="M12" s="350" t="s">
        <v>1164</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1089</v>
      </c>
      <c r="AT12" s="778"/>
      <c r="AU12" s="777" t="s">
        <v>1079</v>
      </c>
      <c r="AV12" s="778"/>
      <c r="AW12" s="777" t="s">
        <v>1087</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1138</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1150</v>
      </c>
      <c r="CR12" s="836"/>
      <c r="CS12" s="790"/>
      <c r="CT12" s="530"/>
      <c r="CU12" s="530"/>
      <c r="CV12" s="530" t="s">
        <v>659</v>
      </c>
      <c r="CW12" s="530" t="s">
        <v>439</v>
      </c>
      <c r="CX12" s="530" t="s">
        <v>454</v>
      </c>
      <c r="CY12" s="530" t="s">
        <v>576</v>
      </c>
      <c r="CZ12" s="530" t="s">
        <v>577</v>
      </c>
      <c r="DA12" s="530" t="s">
        <v>578</v>
      </c>
      <c r="DB12" s="831" t="s">
        <v>1090</v>
      </c>
      <c r="DC12" s="831" t="s">
        <v>1091</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1136</v>
      </c>
      <c r="EP12" s="1318" t="s">
        <v>1158</v>
      </c>
      <c r="EQ12" s="1318" t="s">
        <v>1159</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1127</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1128</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1076</v>
      </c>
      <c r="EP16" s="1317" t="s">
        <v>1080</v>
      </c>
      <c r="EQ16" s="1317" t="s">
        <v>1088</v>
      </c>
      <c r="ER16" s="1341" t="s">
        <v>1031</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1114</v>
      </c>
      <c r="EW19" s="168"/>
      <c r="EX19" s="168"/>
      <c r="EY19" s="168" t="s">
        <v>1177</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1160</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1146</v>
      </c>
      <c r="Q28" s="26" t="s">
        <v>1147</v>
      </c>
      <c r="R28" s="26" t="s">
        <v>1148</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1140</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VRibNSWz0RBOsbjfc8Lxh7qFsxJwXVv2pX9Ri9pUEwFmjTw5zklfO8bmSt5xQSTMRUb+BbE7U992ypuTxEAVQ==" saltValue="8WzdS459d0yboHMFxIzpR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INCA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749</v>
      </c>
      <c r="F5" s="1914" t="s">
        <v>527</v>
      </c>
      <c r="G5" s="1885" t="s">
        <v>173</v>
      </c>
      <c r="H5" s="1885" t="s">
        <v>782</v>
      </c>
      <c r="I5" s="1885" t="s">
        <v>750</v>
      </c>
      <c r="J5" s="1885" t="s">
        <v>867</v>
      </c>
      <c r="K5" s="1885" t="s">
        <v>868</v>
      </c>
      <c r="L5" s="1885" t="s">
        <v>751</v>
      </c>
      <c r="M5" s="1885" t="s">
        <v>706</v>
      </c>
      <c r="N5" s="1885" t="s">
        <v>869</v>
      </c>
      <c r="O5" s="1917" t="s">
        <v>780</v>
      </c>
      <c r="P5" s="1885" t="s">
        <v>889</v>
      </c>
      <c r="Q5" s="1885" t="s">
        <v>883</v>
      </c>
      <c r="R5" s="1885" t="s">
        <v>229</v>
      </c>
      <c r="S5" s="1920" t="s">
        <v>879</v>
      </c>
      <c r="T5" s="1920" t="s">
        <v>882</v>
      </c>
      <c r="U5" s="1885" t="s">
        <v>783</v>
      </c>
      <c r="V5" s="1920" t="s">
        <v>752</v>
      </c>
      <c r="W5" s="1885" t="s">
        <v>1035</v>
      </c>
      <c r="X5" s="1885" t="s">
        <v>1036</v>
      </c>
      <c r="Y5" s="1888" t="s">
        <v>870</v>
      </c>
      <c r="Z5" s="1903" t="s">
        <v>808</v>
      </c>
      <c r="AA5" s="1906" t="s">
        <v>753</v>
      </c>
      <c r="AB5" s="1903" t="s">
        <v>754</v>
      </c>
      <c r="AC5" s="1903" t="s">
        <v>755</v>
      </c>
      <c r="AD5" s="1882" t="s">
        <v>871</v>
      </c>
      <c r="AE5" s="1882" t="s">
        <v>1063</v>
      </c>
      <c r="AF5" s="1885" t="s">
        <v>884</v>
      </c>
      <c r="AG5" s="1885" t="s">
        <v>707</v>
      </c>
      <c r="AH5" s="1885" t="s">
        <v>872</v>
      </c>
      <c r="AI5" s="1885" t="s">
        <v>240</v>
      </c>
      <c r="AJ5" s="1885" t="s">
        <v>939</v>
      </c>
      <c r="AK5" s="1885" t="s">
        <v>708</v>
      </c>
      <c r="AL5" s="1885" t="s">
        <v>709</v>
      </c>
      <c r="AM5" s="1885" t="s">
        <v>890</v>
      </c>
      <c r="AN5" s="1885" t="s">
        <v>710</v>
      </c>
      <c r="AO5" s="1885" t="s">
        <v>711</v>
      </c>
      <c r="AP5" s="1885" t="s">
        <v>712</v>
      </c>
      <c r="AQ5" s="1885" t="s">
        <v>713</v>
      </c>
      <c r="AR5" s="1885" t="s">
        <v>873</v>
      </c>
      <c r="AS5" s="1885" t="s">
        <v>243</v>
      </c>
      <c r="AT5" s="1891" t="s">
        <v>241</v>
      </c>
      <c r="AU5" s="1885" t="s">
        <v>885</v>
      </c>
      <c r="AV5" s="1894" t="s">
        <v>886</v>
      </c>
      <c r="AW5" s="1897" t="s">
        <v>715</v>
      </c>
      <c r="AX5" s="1885" t="s">
        <v>716</v>
      </c>
      <c r="AY5" s="1885" t="s">
        <v>806</v>
      </c>
      <c r="AZ5" s="1900" t="s">
        <v>807</v>
      </c>
      <c r="BA5" s="1885" t="s">
        <v>757</v>
      </c>
      <c r="BB5" s="1894" t="s">
        <v>758</v>
      </c>
      <c r="BC5" s="1897" t="s">
        <v>244</v>
      </c>
      <c r="BD5" s="1885" t="s">
        <v>759</v>
      </c>
      <c r="BE5" s="1885" t="s">
        <v>322</v>
      </c>
      <c r="BF5" s="1885" t="s">
        <v>323</v>
      </c>
      <c r="BG5" s="1885" t="s">
        <v>324</v>
      </c>
      <c r="BH5" s="1885" t="s">
        <v>760</v>
      </c>
      <c r="BI5" s="1885" t="s">
        <v>325</v>
      </c>
      <c r="BJ5" s="1885" t="s">
        <v>761</v>
      </c>
      <c r="BK5" s="1885" t="s">
        <v>776</v>
      </c>
      <c r="BL5" s="1885" t="s">
        <v>762</v>
      </c>
      <c r="BM5" s="1885" t="s">
        <v>763</v>
      </c>
      <c r="BN5" s="1885" t="s">
        <v>791</v>
      </c>
      <c r="BO5" s="1885" t="s">
        <v>784</v>
      </c>
      <c r="BP5" s="1885" t="s">
        <v>1120</v>
      </c>
      <c r="BQ5" s="1885" t="s">
        <v>1124</v>
      </c>
      <c r="BR5" s="1885" t="s">
        <v>1126</v>
      </c>
      <c r="BS5" s="1885" t="s">
        <v>785</v>
      </c>
      <c r="BT5" s="1885" t="s">
        <v>764</v>
      </c>
      <c r="BU5" s="1885" t="s">
        <v>714</v>
      </c>
      <c r="BV5" s="1909" t="s">
        <v>1037</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484</v>
      </c>
      <c r="O9" s="549"/>
      <c r="P9" s="549"/>
      <c r="Q9" s="547">
        <f>IF(ISNUMBER(Datos!P9),Datos!P9,0)</f>
        <v>1262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1058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153</v>
      </c>
      <c r="AI9" s="549" t="str">
        <f>IF(ISNUMBER(Datos!CD9),Datos!CD9,"-")</f>
        <v>-</v>
      </c>
      <c r="AJ9" s="549" t="str">
        <f>IF(ISNUMBER(Datos!EN9),Datos!EN9," - ")</f>
        <v xml:space="preserve"> - </v>
      </c>
      <c r="AK9" s="549"/>
      <c r="AL9" s="550"/>
      <c r="AM9" s="766">
        <f>IF(ISNUMBER(Datos!R9),Datos!R9," - ")</f>
        <v>8068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1483</v>
      </c>
      <c r="BD9" s="693">
        <f>IF(ISNUMBER(Datos!N9),Datos!N9," - ")</f>
        <v>2615</v>
      </c>
      <c r="BE9" s="693" t="str">
        <f>IF(ISNUMBER(Datos!BW9),Datos!BW9," - ")</f>
        <v xml:space="preserve"> - </v>
      </c>
      <c r="BF9" s="762" t="str">
        <f>IF(ISNUMBER(Datos!BX9),Datos!BX9," - ")</f>
        <v xml:space="preserve"> - </v>
      </c>
      <c r="BG9" s="763">
        <f>IF(ISNUMBER(IF(J_V="SI",Datos!K9/Datos!J9,(Datos!K9+Datos!AA9)/(Datos!J9+Datos!Z9))),IF(J_V="SI",Datos!K9/Datos!J9,(Datos!K9+Datos!AA9)/(Datos!J9+Datos!Z9))," - ")</f>
        <v>0.9006444683136412</v>
      </c>
      <c r="BH9" s="764">
        <f>IF(ISNUMBER(((IF(J_V="SI",Datos!L9/Datos!K9,(Datos!L9+Datos!AB9)/(Datos!K9+Datos!AA9)))*11)/factor_trimestre),((IF(J_V="SI",Datos!L9/Datos!K9,(Datos!L9+Datos!AB9)/(Datos!K9+Datos!AA9)))*11)/factor_trimestre," - ")</f>
        <v>10.094812164579606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2.5940996948118005E-2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84</v>
      </c>
      <c r="G10" s="543">
        <f>IF(ISNUMBER(Datos!I10),Datos!I10," - ")</f>
        <v>84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85</v>
      </c>
      <c r="AC10" s="547">
        <f>IF(ISNUMBER(Datos!Q10),Datos!Q10," - ")</f>
        <v>6</v>
      </c>
      <c r="AD10" s="549"/>
      <c r="AE10" s="563"/>
      <c r="AF10" s="551">
        <f>IF(ISNUMBER(Datos!L10),Datos!L10,"-")</f>
        <v>104</v>
      </c>
      <c r="AG10" s="549"/>
      <c r="AH10" s="549"/>
      <c r="AI10" s="549"/>
      <c r="AJ10" s="549"/>
      <c r="AK10" s="549"/>
      <c r="AL10" s="550"/>
      <c r="AM10" s="766">
        <f>IF(ISNUMBER(Datos!R10),Datos!R10," - ")</f>
        <v>33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27</v>
      </c>
      <c r="BD10" s="693">
        <f>IF(ISNUMBER(Datos!N10),Datos!N10," - ")</f>
        <v>39</v>
      </c>
      <c r="BE10" s="693" t="str">
        <f>IF(ISNUMBER(Datos!BW10),Datos!BW10," - ")</f>
        <v xml:space="preserve"> - </v>
      </c>
      <c r="BF10" s="762" t="str">
        <f>IF(ISNUMBER(Datos!BX10),Datos!BX10," - ")</f>
        <v xml:space="preserve"> - </v>
      </c>
      <c r="BG10" s="763">
        <f>IF(ISNUMBER(Datos!K10/Datos!J10),Datos!K10/Datos!J10," - ")</f>
        <v>0.80952380952380953</v>
      </c>
      <c r="BH10" s="764">
        <f>IF(ISNUMBER(((Datos!L10/Datos!K10)*11)/factor_trimestre),((Datos!L10/Datos!K10)*11)/factor_trimestre," - ")</f>
        <v>13.458823529411767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0.13793103448275862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5</v>
      </c>
      <c r="F14" s="1197">
        <f t="shared" si="1"/>
        <v>84</v>
      </c>
      <c r="G14" s="1197">
        <f t="shared" si="1"/>
        <v>84</v>
      </c>
      <c r="H14" s="1198">
        <f t="shared" si="1"/>
        <v>0</v>
      </c>
      <c r="I14" s="1197">
        <f t="shared" si="1"/>
        <v>0</v>
      </c>
      <c r="J14" s="1164">
        <f t="shared" si="1"/>
        <v>0</v>
      </c>
      <c r="K14" s="1164">
        <f t="shared" si="1"/>
        <v>0</v>
      </c>
      <c r="L14" s="1198">
        <f t="shared" si="1"/>
        <v>0</v>
      </c>
      <c r="M14" s="1198">
        <f t="shared" si="1"/>
        <v>0</v>
      </c>
      <c r="N14" s="1198">
        <f t="shared" si="1"/>
        <v>484</v>
      </c>
      <c r="O14" s="1199">
        <f t="shared" si="1"/>
        <v>0</v>
      </c>
      <c r="P14" s="1199">
        <f t="shared" si="1"/>
        <v>0</v>
      </c>
      <c r="Q14" s="1198">
        <f t="shared" si="1"/>
        <v>1272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85</v>
      </c>
      <c r="AC14" s="1198">
        <f t="shared" si="2"/>
        <v>1064</v>
      </c>
      <c r="AD14" s="1198">
        <f t="shared" si="2"/>
        <v>0</v>
      </c>
      <c r="AE14" s="1198">
        <f t="shared" si="2"/>
        <v>0</v>
      </c>
      <c r="AF14" s="1198">
        <f t="shared" si="2"/>
        <v>104</v>
      </c>
      <c r="AG14" s="1198">
        <f t="shared" si="2"/>
        <v>0</v>
      </c>
      <c r="AH14" s="1198">
        <f t="shared" si="2"/>
        <v>153</v>
      </c>
      <c r="AI14" s="1198">
        <f t="shared" si="2"/>
        <v>0</v>
      </c>
      <c r="AJ14" s="1198">
        <f t="shared" si="2"/>
        <v>0</v>
      </c>
      <c r="AK14" s="1198">
        <f t="shared" si="2"/>
        <v>0</v>
      </c>
      <c r="AL14" s="1198">
        <f t="shared" si="2"/>
        <v>0</v>
      </c>
      <c r="AM14" s="1198">
        <f t="shared" si="2"/>
        <v>8101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1510</v>
      </c>
      <c r="BD14" s="1198">
        <f t="shared" si="2"/>
        <v>2654</v>
      </c>
      <c r="BE14" s="1198">
        <f t="shared" si="2"/>
        <v>0</v>
      </c>
      <c r="BF14" s="1198">
        <f t="shared" si="2"/>
        <v>0</v>
      </c>
      <c r="BG14" s="1198">
        <f>IF(ISNUMBER(Datos!K14/Datos!J14),Datos!K14/Datos!J14," - ")</f>
        <v>0.88612250671947945</v>
      </c>
      <c r="BH14" s="1202">
        <f>IF(ISNUMBER(((Datos!L14/Datos!K14)*11)/factor_trimestre),((Datos!L14/Datos!K14)*11)/factor_trimestre," - ")</f>
        <v>10.724297573435503</v>
      </c>
      <c r="BI14" s="1198">
        <f>IF(ISNUMBER('Resol  Asuntos'!D14/NºAsuntos!G14),'Resol  Asuntos'!D14/NºAsuntos!G14," - ")</f>
        <v>0.22228764905049314</v>
      </c>
      <c r="BJ14" s="1198" t="str">
        <f>IF(ISNUMBER(Datos!CI14/Datos!CJ14),Datos!CI14/Datos!CJ14," - ")</f>
        <v xml:space="preserve"> - </v>
      </c>
      <c r="BK14" s="1198">
        <f>SUBTOTAL(9,BK8:BK13)</f>
        <v>0</v>
      </c>
      <c r="BL14" s="1198">
        <f>IF(ISNUMBER((I14-AB14+L14)/(F14)),(I14-AB14+L14)/(F14)," - ")</f>
        <v>-1.0119047619047619</v>
      </c>
      <c r="BM14" s="1203">
        <f>SUBTOTAL(9,BM9:BM13)</f>
        <v>0.16387203143087661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2267</v>
      </c>
      <c r="G16" s="743">
        <f>IF(ISNUMBER(IF(D_I="SI",Datos!I16,Datos!I16+Datos!AC16)),IF(D_I="SI",Datos!I16,Datos!I16+Datos!AC16)," - ")</f>
        <v>2267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135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5286</v>
      </c>
      <c r="AC16" s="240">
        <f>IF(ISNUMBER(Datos!Q16),Datos!Q16," - ")</f>
        <v>133</v>
      </c>
      <c r="AD16" s="374"/>
      <c r="AE16" s="562"/>
      <c r="AF16" s="741">
        <f>IF(ISNUMBER(IF(D_I="SI",Datos!L16,Datos!L16+Datos!AF16)),IF(D_I="SI",Datos!L16,Datos!L16+Datos!AF16)," - ")</f>
        <v>2680</v>
      </c>
      <c r="AG16" s="374"/>
      <c r="AH16" s="374"/>
      <c r="AI16" s="374"/>
      <c r="AJ16" s="549"/>
      <c r="AK16" s="374"/>
      <c r="AL16" s="545"/>
      <c r="AM16" s="375">
        <f>IF(ISNUMBER(Datos!R16),Datos!R16," - ")</f>
        <v>250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727</v>
      </c>
      <c r="BD16" s="243">
        <f>IF(ISNUMBER(Datos!N16),Datos!N16," - ")</f>
        <v>3357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0.92753114581505525</v>
      </c>
      <c r="BH16" s="764">
        <f>IF(ISNUMBER(((IF(D_I="SI",Datos!L16/Datos!K16,(Datos!L16+Datos!AF16)/(Datos!K16+Datos!AE16)))*11)/factor_trimestre),((IF(D_I="SI",Datos!L16/Datos!K16,(Datos!L16+Datos!AF16)/(Datos!K16+Datos!AE16)))*11)/factor_trimestre," - ")</f>
        <v>5.5769958380628069</v>
      </c>
      <c r="BI16" s="266">
        <f>IF(ISNUMBER('Resol  Asuntos'!D16/NºAsuntos!G16),'Resol  Asuntos'!D16/NºAsuntos!G16," - ")</f>
        <v>0.13753310631857738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3</v>
      </c>
      <c r="G17" s="743">
        <f>IF(ISNUMBER(IF(D_I="SI",Datos!I17,Datos!I17+Datos!AC17)),IF(D_I="SI",Datos!I17,Datos!I17+Datos!AC17)," - ")</f>
        <v>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1</v>
      </c>
      <c r="AD17" s="374"/>
      <c r="AE17" s="562"/>
      <c r="AF17" s="741">
        <f>IF(ISNUMBER(IF(D_I="SI",Datos!L17,Datos!L17+Datos!AF17)),IF(D_I="SI",Datos!L17,Datos!L17+Datos!AF17)," - ")</f>
        <v>3</v>
      </c>
      <c r="AG17" s="374"/>
      <c r="AH17" s="374"/>
      <c r="AI17" s="374"/>
      <c r="AJ17" s="549"/>
      <c r="AK17" s="374"/>
      <c r="AL17" s="545"/>
      <c r="AM17" s="375">
        <f>IF(ISNUMBER(Datos!R17),Datos!R17," - ")</f>
        <v>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936</v>
      </c>
      <c r="AC18" s="547">
        <f>IF(ISNUMBER(Datos!Q18),Datos!Q18," - ")</f>
        <v>11</v>
      </c>
      <c r="AD18" s="549"/>
      <c r="AE18" s="562"/>
      <c r="AF18" s="551">
        <f>IF(ISNUMBER(Datos!L18),Datos!L18,"-")</f>
        <v>226</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242</v>
      </c>
      <c r="BD18" s="693">
        <f>IF(ISNUMBER(Datos!N18),Datos!N18," - ")</f>
        <v>465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0.94545454545454544</v>
      </c>
      <c r="BH18" s="764">
        <f>IF(ISNUMBER(((IF(D_I="SI",Datos!L18/Datos!K18,(Datos!L18+Datos!AF18)/(Datos!K18+Datos!AE18)))*11)/factor_trimestre),((IF(D_I="SI",Datos!L18/Datos!K18,(Datos!L18+Datos!AF18)/(Datos!K18+Datos!AE18)))*11)/factor_trimestre," - ")</f>
        <v>2.6559829059829059</v>
      </c>
      <c r="BI18" s="763">
        <f>IF(ISNUMBER('Resol  Asuntos'!D18/NºAsuntos!G18),'Resol  Asuntos'!D18/NºAsuntos!G18," - ")</f>
        <v>0.25854700854700857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2270</v>
      </c>
      <c r="G23" s="1197">
        <f>SUBTOTAL(9,G16:G22)</f>
        <v>2442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6222</v>
      </c>
      <c r="AC23" s="1198">
        <f t="shared" si="5"/>
        <v>145</v>
      </c>
      <c r="AD23" s="1198">
        <f t="shared" si="5"/>
        <v>0</v>
      </c>
      <c r="AE23" s="1198">
        <f t="shared" si="5"/>
        <v>0</v>
      </c>
      <c r="AF23" s="1198">
        <f t="shared" si="5"/>
        <v>2909</v>
      </c>
      <c r="AG23" s="1198">
        <f t="shared" si="5"/>
        <v>0</v>
      </c>
      <c r="AH23" s="1198">
        <f t="shared" si="5"/>
        <v>0</v>
      </c>
      <c r="AI23" s="1198">
        <f t="shared" si="5"/>
        <v>0</v>
      </c>
      <c r="AJ23" s="1198">
        <f t="shared" si="5"/>
        <v>0</v>
      </c>
      <c r="AK23" s="1198">
        <f t="shared" si="5"/>
        <v>0</v>
      </c>
      <c r="AL23" s="1198">
        <f t="shared" si="5"/>
        <v>0</v>
      </c>
      <c r="AM23" s="1198">
        <f t="shared" si="5"/>
        <v>260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969</v>
      </c>
      <c r="BD23" s="1198">
        <f t="shared" si="5"/>
        <v>3822</v>
      </c>
      <c r="BE23" s="1198">
        <f t="shared" si="5"/>
        <v>0</v>
      </c>
      <c r="BF23" s="1198">
        <f t="shared" si="5"/>
        <v>0</v>
      </c>
      <c r="BG23" s="1198">
        <f>IF(ISNUMBER(Datos!K23/Datos!J23),Datos!K23/Datos!J23," - ")</f>
        <v>0.93018388398863805</v>
      </c>
      <c r="BH23" s="1202">
        <f>IF(ISNUMBER(((Datos!L23/Datos!K23)*11)/factor_trimestre),((Datos!L23/Datos!K23)*11)/factor_trimestre," - ")</f>
        <v>5.1428801028608166</v>
      </c>
      <c r="BI23" s="1198">
        <f>SUBTOTAL(9,BI16:BI22)</f>
        <v>0.39608011486558592</v>
      </c>
      <c r="BJ23" s="1198">
        <f>SUBTOTAL(9,BJ16:BJ22)</f>
        <v>0</v>
      </c>
      <c r="BK23" s="1198">
        <f>SUBTOTAL(9,BK16:BK22)</f>
        <v>0</v>
      </c>
      <c r="BL23" s="1198">
        <f>IF(ISNUMBER((I23-AB23+L23)/(F23)),(I23-AB23+L23)/(F23)," - ")</f>
        <v>-2.7409691629955946</v>
      </c>
      <c r="BM23" s="1205">
        <f>IF(ISNUMBER((Datos!P23-Datos!Q23)/(Datos!R23-Datos!P23+Datos!Q23)),(Datos!P23-Datos!Q23)/(Datos!R23-Datos!P23+Datos!Q23)," - ")</f>
        <v>3.1746031746031744E-2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2354</v>
      </c>
      <c r="G31" s="1117">
        <f t="shared" si="18"/>
        <v>2526</v>
      </c>
      <c r="H31" s="1119">
        <f t="shared" si="18"/>
        <v>0</v>
      </c>
      <c r="I31" s="1117">
        <f t="shared" si="18"/>
        <v>0</v>
      </c>
      <c r="J31" s="1119">
        <f t="shared" si="18"/>
        <v>0</v>
      </c>
      <c r="K31" s="1119">
        <f t="shared" si="18"/>
        <v>0</v>
      </c>
      <c r="L31" s="1180">
        <f t="shared" si="18"/>
        <v>0</v>
      </c>
      <c r="M31" s="1180">
        <f t="shared" si="18"/>
        <v>0</v>
      </c>
      <c r="N31" s="1180">
        <f t="shared" si="18"/>
        <v>484</v>
      </c>
      <c r="O31" s="1180">
        <f t="shared" si="18"/>
        <v>0</v>
      </c>
      <c r="P31" s="1180">
        <f t="shared" si="18"/>
        <v>0</v>
      </c>
      <c r="Q31" s="1119">
        <f t="shared" si="18"/>
        <v>1425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6307</v>
      </c>
      <c r="AC31" s="1118">
        <f t="shared" si="19"/>
        <v>1209</v>
      </c>
      <c r="AD31" s="1118">
        <f t="shared" si="19"/>
        <v>0</v>
      </c>
      <c r="AE31" s="1118">
        <f t="shared" si="19"/>
        <v>0</v>
      </c>
      <c r="AF31" s="1125">
        <f t="shared" si="19"/>
        <v>3013</v>
      </c>
      <c r="AG31" s="1125">
        <f t="shared" si="19"/>
        <v>0</v>
      </c>
      <c r="AH31" s="1125">
        <f t="shared" si="19"/>
        <v>153</v>
      </c>
      <c r="AI31" s="1125">
        <f t="shared" si="19"/>
        <v>0</v>
      </c>
      <c r="AJ31" s="1118">
        <f t="shared" si="19"/>
        <v>0</v>
      </c>
      <c r="AK31" s="1125">
        <f t="shared" si="19"/>
        <v>0</v>
      </c>
      <c r="AL31" s="1125">
        <f t="shared" si="19"/>
        <v>0</v>
      </c>
      <c r="AM31" s="1125">
        <f t="shared" si="19"/>
        <v>8361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2479</v>
      </c>
      <c r="BD31" s="1117">
        <f t="shared" si="19"/>
        <v>6476</v>
      </c>
      <c r="BE31" s="1117">
        <f t="shared" si="19"/>
        <v>0</v>
      </c>
      <c r="BF31" s="1127">
        <f t="shared" si="19"/>
        <v>0</v>
      </c>
      <c r="BG31" s="1223">
        <f>IF(ISNUMBER(Datos!K31/Datos!J31),Datos!K31/Datos!J31," - ")</f>
        <v>0.90754470126471876</v>
      </c>
      <c r="BH31" s="1223">
        <f>IF(ISNUMBER(((Datos!L31/Datos!K31)*11)/factor_trimestre),((Datos!L31/Datos!K31)*11)/factor_trimestre," - ")</f>
        <v>7.9429761332692612</v>
      </c>
      <c r="BI31" s="1103">
        <f>IF(ISNUMBER(Datos!J31/Datos!I31),Datos!J31/Datos!I31," - ")</f>
        <v>1.7897749447118512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-2.6792693288020391</v>
      </c>
      <c r="BM31" s="1188">
        <f>IF(ISNUMBER((Datos!P31-Datos!Q31+R31)/(Datos!R31-Datos!P31+Datos!Q31-R31)),(Datos!P31-Datos!Q31+R31)/(Datos!R31-Datos!P31+Datos!Q31-R31)," - ")</f>
        <v>2.6519337016574586E-2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631.5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1.7404711333664431</v>
      </c>
      <c r="F33" s="673">
        <f>IF(ISNUMBER(STDEV(F8:F30)),STDEV(F8:F30),"-")</f>
        <v>1090.8592724916227</v>
      </c>
      <c r="G33" s="674">
        <f>IF(ISNUMBER(STDEV(G8:G30)),STDEV(G8:G30),"-")</f>
        <v>1066.1023805030572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2609.2281699493324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639.81099639746049</v>
      </c>
      <c r="BD33" s="673"/>
      <c r="BE33" s="673">
        <f>IF(ISNUMBER(STDEV(BE8:BE30)),STDEV(BE8:BE30),"-")</f>
        <v>0</v>
      </c>
      <c r="BF33" s="678">
        <f>IF(ISNUMBER(STDEV(BF8:BF30)),STDEV(BF8:BF30),"-")</f>
        <v>0</v>
      </c>
      <c r="BG33" s="1052">
        <f>IF(ISNUMBER(STDEV(BG8:BG30)),STDEV(BG8:BG30),"-")</f>
        <v>4.9222025988364122E-2</v>
      </c>
      <c r="BH33" s="1058">
        <f>IF(ISNUMBER(STDEV(BH8:BH30)),STDEV(BH8:BH30),"-")</f>
        <v>4.1032039901833084</v>
      </c>
      <c r="BI33" s="273">
        <f>IF(ISNUMBER(STDEV(BI8:BI30)),STDEV(BI8:BI30),"-")</f>
        <v>0.10766776457141976</v>
      </c>
      <c r="BJ33" s="244" t="str">
        <f>IF(ISNUMBER(BL33/BM33),BL33/BM33," - ")</f>
        <v xml:space="preserve"> - </v>
      </c>
      <c r="BK33" s="709"/>
      <c r="BL33" s="681">
        <f>IF(ISNUMBER(STDEV(BL8:BL30)),STDEV(BL8:BL30),"-")</f>
        <v>1.2226331631195844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pRTixs0o4xZdBSvY6fvd53JxaAbteqi+nrzSPs39udU3v8kUn133Tkb6WsMLymRhB6ChtT3pDo9RYeq52Fn5Ig==" saltValue="PPhqS9r5QOuzbBHBwQBDr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INCA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749</v>
      </c>
      <c r="F5" s="1914" t="s">
        <v>527</v>
      </c>
      <c r="G5" s="1885" t="s">
        <v>173</v>
      </c>
      <c r="H5" s="1885" t="s">
        <v>782</v>
      </c>
      <c r="I5" s="1885" t="s">
        <v>750</v>
      </c>
      <c r="J5" s="1885" t="s">
        <v>887</v>
      </c>
      <c r="K5" s="1885" t="s">
        <v>751</v>
      </c>
      <c r="L5" s="1885" t="s">
        <v>780</v>
      </c>
      <c r="M5" s="1885" t="s">
        <v>889</v>
      </c>
      <c r="N5" s="1885" t="s">
        <v>777</v>
      </c>
      <c r="O5" s="1885" t="s">
        <v>811</v>
      </c>
      <c r="P5" s="1920" t="s">
        <v>879</v>
      </c>
      <c r="Q5" s="1920" t="s">
        <v>882</v>
      </c>
      <c r="R5" s="1885" t="s">
        <v>786</v>
      </c>
      <c r="S5" s="1885" t="s">
        <v>752</v>
      </c>
      <c r="T5" s="1885" t="s">
        <v>1035</v>
      </c>
      <c r="U5" s="1885" t="s">
        <v>1036</v>
      </c>
      <c r="V5" s="1888" t="s">
        <v>870</v>
      </c>
      <c r="W5" s="1903" t="s">
        <v>766</v>
      </c>
      <c r="X5" s="1906" t="s">
        <v>767</v>
      </c>
      <c r="Y5" s="1882" t="s">
        <v>787</v>
      </c>
      <c r="Z5" s="1882" t="s">
        <v>812</v>
      </c>
      <c r="AA5" s="1885" t="s">
        <v>756</v>
      </c>
      <c r="AB5" s="1885" t="s">
        <v>768</v>
      </c>
      <c r="AC5" s="1885" t="s">
        <v>769</v>
      </c>
      <c r="AD5" s="1885" t="s">
        <v>709</v>
      </c>
      <c r="AE5" s="1885" t="s">
        <v>890</v>
      </c>
      <c r="AF5" s="1885" t="s">
        <v>243</v>
      </c>
      <c r="AG5" s="1885" t="s">
        <v>770</v>
      </c>
      <c r="AH5" s="1885" t="s">
        <v>757</v>
      </c>
      <c r="AI5" s="1885" t="s">
        <v>758</v>
      </c>
      <c r="AJ5" s="1885" t="s">
        <v>771</v>
      </c>
      <c r="AK5" s="1885" t="s">
        <v>772</v>
      </c>
      <c r="AL5" s="1885" t="s">
        <v>773</v>
      </c>
      <c r="AM5" s="1900" t="s">
        <v>774</v>
      </c>
      <c r="AN5" s="1885" t="s">
        <v>324</v>
      </c>
      <c r="AO5" s="1885" t="s">
        <v>760</v>
      </c>
      <c r="AP5" s="1885" t="s">
        <v>761</v>
      </c>
      <c r="AQ5" s="1885" t="s">
        <v>788</v>
      </c>
      <c r="AR5" s="1885" t="s">
        <v>789</v>
      </c>
      <c r="AS5" s="1885" t="s">
        <v>791</v>
      </c>
      <c r="AT5" s="1885" t="s">
        <v>784</v>
      </c>
      <c r="AU5" s="1885" t="s">
        <v>1120</v>
      </c>
      <c r="AV5" s="1885" t="s">
        <v>436</v>
      </c>
      <c r="AW5" s="1885" t="s">
        <v>775</v>
      </c>
      <c r="AX5" s="1885" t="s">
        <v>714</v>
      </c>
      <c r="BU5" s="1885" t="s">
        <v>1037</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1262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1058</v>
      </c>
      <c r="AA9" s="551" t="str">
        <f>IF(ISNUMBER(IF(J_V="SI",Datos!L9,Datos!L9+Datos!AB9)-IF(Monitorios="SI",Datos!CD9,0)),
                          IF(J_V="SI",Datos!L9,Datos!L9+Datos!AB9)-IF(Monitorios="SI",Datos!CD9,0),
                          " - ")</f>
        <v xml:space="preserve"> - </v>
      </c>
      <c r="AB9" s="549"/>
      <c r="AC9" s="549"/>
      <c r="AD9" s="563"/>
      <c r="AE9" s="563">
        <f>IF(ISNUMBER(Datos!R9),Datos!R9," - ")</f>
        <v>8068</v>
      </c>
      <c r="AF9" s="693" t="str">
        <f>IF(ISNUMBER(Datos!BV9),Datos!BV9," - ")</f>
        <v xml:space="preserve"> - </v>
      </c>
      <c r="AG9" s="552" t="str">
        <f>IF(ISNUMBER(Datos!DV9),Datos!DV9," - ")</f>
        <v xml:space="preserve"> - </v>
      </c>
      <c r="AH9" s="553"/>
      <c r="AI9" s="554"/>
      <c r="AJ9" s="552">
        <f>IF(ISNUMBER(Datos!M9),Datos!M9," - ")</f>
        <v>1483</v>
      </c>
      <c r="AK9" s="693">
        <f>IF(ISNUMBER(Datos!N9),Datos!N9," - ")</f>
        <v>2615</v>
      </c>
      <c r="AL9" s="693" t="str">
        <f>IF(ISNUMBER(Datos!BW9),Datos!BW9," - ")</f>
        <v xml:space="preserve"> - </v>
      </c>
      <c r="AM9" s="762" t="str">
        <f>IF(ISNUMBER(Datos!BX9),Datos!BX9," - ")</f>
        <v xml:space="preserve"> - </v>
      </c>
      <c r="AN9" s="763"/>
      <c r="AO9" s="764">
        <f>IF(ISNUMBER(((NºAsuntos!I9/NºAsuntos!G9)*11)/factor_trimestre),((NºAsuntos!I9/NºAsuntos!G9)*11)/factor_trimestre," - ")</f>
        <v>10.094812164579606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2.5940996948118005E-2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84</v>
      </c>
      <c r="G10" s="552">
        <f>IF(ISNUMBER(Datos!I10),Datos!I10," - ")</f>
        <v>84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85</v>
      </c>
      <c r="Z10" s="805">
        <f>IF(ISNUMBER(Datos!Q10),Datos!Q10," - ")</f>
        <v>6</v>
      </c>
      <c r="AA10" s="551">
        <f>IF(ISNUMBER(Datos!L10),Datos!L10,"-")</f>
        <v>104</v>
      </c>
      <c r="AB10" s="549"/>
      <c r="AC10" s="549"/>
      <c r="AD10" s="563"/>
      <c r="AE10" s="563">
        <f>IF(ISNUMBER(Datos!R10),Datos!R10," - ")</f>
        <v>33</v>
      </c>
      <c r="AF10" s="693" t="str">
        <f>IF(ISNUMBER(Datos!BV10),Datos!BV10," - ")</f>
        <v xml:space="preserve"> - </v>
      </c>
      <c r="AG10" s="552" t="str">
        <f>IF(ISNUMBER(Datos!DV10),Datos!DV10," - ")</f>
        <v xml:space="preserve"> - </v>
      </c>
      <c r="AH10" s="553"/>
      <c r="AI10" s="554"/>
      <c r="AJ10" s="552">
        <f>IF(ISNUMBER(Datos!M10),Datos!M10," - ")</f>
        <v>27</v>
      </c>
      <c r="AK10" s="693">
        <f>IF(ISNUMBER(Datos!N10),Datos!N10," - ")</f>
        <v>39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13.458823529411767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0.13793103448275862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5</v>
      </c>
      <c r="F14" s="1197">
        <f>SUBTOTAL(9,F8:F13)</f>
        <v>84</v>
      </c>
      <c r="G14" s="1197">
        <f>SUBTOTAL(9,G8:G13)</f>
        <v>84</v>
      </c>
      <c r="H14" s="1211"/>
      <c r="I14" s="1197">
        <f t="shared" ref="I14:N14" si="1">SUBTOTAL(9,I8:I13)</f>
        <v>0</v>
      </c>
      <c r="J14" s="1164">
        <f t="shared" si="1"/>
        <v>0</v>
      </c>
      <c r="K14" s="1211">
        <f t="shared" si="1"/>
        <v>0</v>
      </c>
      <c r="L14" s="1211">
        <f t="shared" si="1"/>
        <v>0</v>
      </c>
      <c r="M14" s="1211">
        <f t="shared" si="1"/>
        <v>0</v>
      </c>
      <c r="N14" s="1211">
        <f t="shared" si="1"/>
        <v>1272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85</v>
      </c>
      <c r="Z14" s="1210">
        <f t="shared" si="3"/>
        <v>1064</v>
      </c>
      <c r="AA14" s="1199">
        <f t="shared" si="3"/>
        <v>104</v>
      </c>
      <c r="AB14" s="1199">
        <f t="shared" si="3"/>
        <v>0</v>
      </c>
      <c r="AC14" s="1199">
        <f t="shared" si="3"/>
        <v>0</v>
      </c>
      <c r="AD14" s="1199">
        <f t="shared" si="3"/>
        <v>0</v>
      </c>
      <c r="AE14" s="1199">
        <f t="shared" si="3"/>
        <v>8101</v>
      </c>
      <c r="AF14" s="1211">
        <f t="shared" si="3"/>
        <v>0</v>
      </c>
      <c r="AG14" s="1211">
        <f t="shared" si="3"/>
        <v>0</v>
      </c>
      <c r="AH14" s="1211">
        <f t="shared" si="3"/>
        <v>0</v>
      </c>
      <c r="AI14" s="1211">
        <f t="shared" si="3"/>
        <v>0</v>
      </c>
      <c r="AJ14" s="1211">
        <f t="shared" si="3"/>
        <v>1510</v>
      </c>
      <c r="AK14" s="1211">
        <f t="shared" si="3"/>
        <v>2654</v>
      </c>
      <c r="AL14" s="1211">
        <f t="shared" si="3"/>
        <v>0</v>
      </c>
      <c r="AM14" s="1211">
        <f t="shared" si="3"/>
        <v>0</v>
      </c>
      <c r="AN14" s="1211">
        <f t="shared" si="3"/>
        <v>0</v>
      </c>
      <c r="AO14" s="1203">
        <f>IF(ISNUMBER(((NºAsuntos!I14/NºAsuntos!G14)*11)/factor_trimestre),((NºAsuntos!I14/NºAsuntos!G14)*11)/factor_trimestre," - ")</f>
        <v>10.136905638156925</v>
      </c>
      <c r="AP14" s="1213" t="str">
        <f>IF(ISNUMBER(Datos!CI14/Datos!CJ14),Datos!CI14/Datos!CJ14," - ")</f>
        <v xml:space="preserve"> - </v>
      </c>
      <c r="AQ14" s="1236">
        <f t="shared" ref="AQ14:AV14" si="4">SUBTOTAL(9,AQ9:AQ13)</f>
        <v>0</v>
      </c>
      <c r="AR14" s="1236">
        <f t="shared" si="4"/>
        <v>0.16387203143087661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2267</v>
      </c>
      <c r="G16" s="552">
        <f>IF(ISNUMBER(IF(D_I="SI",Datos!I16,Datos!I16+Datos!AC16)),IF(D_I="SI",Datos!I16,Datos!I16+Datos!AC16)," - ")</f>
        <v>2267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135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5286</v>
      </c>
      <c r="Z16" s="805">
        <f>IF(ISNUMBER(Datos!Q16),Datos!Q16," - ")</f>
        <v>133</v>
      </c>
      <c r="AA16" s="551">
        <f>IF(ISNUMBER(IF(D_I="SI",Datos!L16,Datos!L16+Datos!AF16)),IF(D_I="SI",Datos!L16,Datos!L16+Datos!AF16)," - ")</f>
        <v>2680</v>
      </c>
      <c r="AB16" s="549"/>
      <c r="AC16" s="549"/>
      <c r="AD16" s="563"/>
      <c r="AE16" s="563">
        <f>IF(ISNUMBER(Datos!R16),Datos!R16," - ")</f>
        <v>250</v>
      </c>
      <c r="AF16" s="693" t="str">
        <f>IF(ISNUMBER(Datos!BV16),Datos!BV16," - ")</f>
        <v xml:space="preserve"> - </v>
      </c>
      <c r="AG16" s="552"/>
      <c r="AH16" s="553"/>
      <c r="AI16" s="554"/>
      <c r="AJ16" s="552">
        <f>IF(ISNUMBER(Datos!M16),Datos!M16," - ")</f>
        <v>727</v>
      </c>
      <c r="AK16" s="693">
        <f>IF(ISNUMBER(Datos!N16),Datos!N16," - ")</f>
        <v>3357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5.5769958380628069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3</v>
      </c>
      <c r="G17" s="552">
        <f>IF(ISNUMBER(IF(D_I="SI",Datos!I17,Datos!I17+Datos!AC17)),IF(D_I="SI",Datos!I17,Datos!I17+Datos!AC17)," - ")</f>
        <v>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1</v>
      </c>
      <c r="AA17" s="551">
        <f>IF(ISNUMBER(IF(D_I="SI",Datos!L17,Datos!L17+Datos!AF17)),IF(D_I="SI",Datos!L17,Datos!L17+Datos!AF17)," - ")</f>
        <v>3</v>
      </c>
      <c r="AB17" s="549"/>
      <c r="AC17" s="549"/>
      <c r="AD17" s="563"/>
      <c r="AE17" s="563">
        <f>IF(ISNUMBER(Datos!R17),Datos!R17," - ")</f>
        <v>1</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936</v>
      </c>
      <c r="Z18" s="805">
        <f>IF(ISNUMBER(Datos!Q18),Datos!Q18," - ")</f>
        <v>11</v>
      </c>
      <c r="AA18" s="551">
        <f>IF(ISNUMBER(Datos!L18),Datos!L18,"-")</f>
        <v>226</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242</v>
      </c>
      <c r="AK18" s="693">
        <f>IF(ISNUMBER(Datos!N18),Datos!N18," - ")</f>
        <v>465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2.6559829059829059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2270</v>
      </c>
      <c r="G23" s="1197">
        <f>SUBTOTAL(9,G16:G22)</f>
        <v>2442</v>
      </c>
      <c r="H23" s="1240">
        <f>SUBTOTAL(9,H16:H22)</f>
        <v>0</v>
      </c>
      <c r="I23" s="1217">
        <f>SUBTOTAL(9,I16:I22)</f>
        <v>0</v>
      </c>
      <c r="J23" s="1164">
        <f>SUBTOTAL(9,J15:J22)</f>
        <v>0</v>
      </c>
      <c r="K23" s="1240">
        <f t="shared" ref="K23:S23" si="5">SUBTOTAL(9,K16:K22)</f>
        <v>0</v>
      </c>
      <c r="L23" s="1240">
        <f t="shared" si="5"/>
        <v>0</v>
      </c>
      <c r="M23" s="1240">
        <f t="shared" si="5"/>
        <v>0</v>
      </c>
      <c r="N23" s="1240">
        <f t="shared" si="5"/>
        <v>153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6222</v>
      </c>
      <c r="Z23" s="1240">
        <f t="shared" si="6"/>
        <v>145</v>
      </c>
      <c r="AA23" s="1240">
        <f t="shared" si="6"/>
        <v>2909</v>
      </c>
      <c r="AB23" s="1240">
        <f t="shared" si="6"/>
        <v>0</v>
      </c>
      <c r="AC23" s="1240">
        <f t="shared" si="6"/>
        <v>0</v>
      </c>
      <c r="AD23" s="1240">
        <f t="shared" si="6"/>
        <v>0</v>
      </c>
      <c r="AE23" s="1240">
        <f t="shared" si="6"/>
        <v>260</v>
      </c>
      <c r="AF23" s="1240">
        <f t="shared" si="6"/>
        <v>0</v>
      </c>
      <c r="AG23" s="1240">
        <f t="shared" si="6"/>
        <v>0</v>
      </c>
      <c r="AH23" s="1240">
        <f t="shared" si="6"/>
        <v>0</v>
      </c>
      <c r="AI23" s="1240">
        <f t="shared" si="6"/>
        <v>0</v>
      </c>
      <c r="AJ23" s="1240">
        <f t="shared" si="6"/>
        <v>969</v>
      </c>
      <c r="AK23" s="1240">
        <f t="shared" si="6"/>
        <v>3822</v>
      </c>
      <c r="AL23" s="1240">
        <f t="shared" si="6"/>
        <v>0</v>
      </c>
      <c r="AM23" s="1240">
        <f t="shared" si="6"/>
        <v>0</v>
      </c>
      <c r="AN23" s="1240">
        <f t="shared" si="6"/>
        <v>0</v>
      </c>
      <c r="AO23" s="1242">
        <f>IF(ISNUMBER(((NºAsuntos!I23/NºAsuntos!G23)*11)/factor_trimestre),((NºAsuntos!I23/NºAsuntos!G23)*11)/factor_trimestre," - ")</f>
        <v>5.1428801028608166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2354</v>
      </c>
      <c r="G31" s="1117">
        <f t="shared" si="12"/>
        <v>2526</v>
      </c>
      <c r="H31" s="1118">
        <f t="shared" si="12"/>
        <v>0</v>
      </c>
      <c r="I31" s="1117">
        <f t="shared" si="12"/>
        <v>0</v>
      </c>
      <c r="J31" s="1119">
        <f t="shared" si="12"/>
        <v>0</v>
      </c>
      <c r="K31" s="1117">
        <f t="shared" si="12"/>
        <v>0</v>
      </c>
      <c r="L31" s="1120">
        <f t="shared" si="12"/>
        <v>0</v>
      </c>
      <c r="M31" s="1117">
        <f t="shared" si="12"/>
        <v>0</v>
      </c>
      <c r="N31" s="1118">
        <f t="shared" si="12"/>
        <v>1425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6307</v>
      </c>
      <c r="Z31" s="1124">
        <f t="shared" si="13"/>
        <v>1209</v>
      </c>
      <c r="AA31" s="1125">
        <f t="shared" si="13"/>
        <v>3013</v>
      </c>
      <c r="AB31" s="1125">
        <f t="shared" si="13"/>
        <v>0</v>
      </c>
      <c r="AC31" s="1125">
        <f t="shared" si="13"/>
        <v>0</v>
      </c>
      <c r="AD31" s="1126">
        <f t="shared" si="13"/>
        <v>0</v>
      </c>
      <c r="AE31" s="1126">
        <f t="shared" si="13"/>
        <v>8361</v>
      </c>
      <c r="AF31" s="1127">
        <f t="shared" si="13"/>
        <v>0</v>
      </c>
      <c r="AG31" s="1128">
        <f t="shared" si="13"/>
        <v>0</v>
      </c>
      <c r="AH31" s="1129">
        <f t="shared" si="13"/>
        <v>0</v>
      </c>
      <c r="AI31" s="1127">
        <f t="shared" si="13"/>
        <v>0</v>
      </c>
      <c r="AJ31" s="1117">
        <f t="shared" si="13"/>
        <v>2479</v>
      </c>
      <c r="AK31" s="1117">
        <f t="shared" si="13"/>
        <v>6476</v>
      </c>
      <c r="AL31" s="1117">
        <f t="shared" si="13"/>
        <v>0</v>
      </c>
      <c r="AM31" s="1130">
        <f t="shared" si="13"/>
        <v>0</v>
      </c>
      <c r="AN31" s="1120">
        <f>IF(ISNUMBER(Datos!K31/Datos!J31),Datos!K31/Datos!J31," - ")</f>
        <v>0.90754470126471876</v>
      </c>
      <c r="AO31" s="1120">
        <f>IF(ISNUMBER(FIND("06",Criterios!A8,1)),(IF(ISNUMBER(((Datos!R31/Datos!Q31)*11)/factor_trimestre),((Datos!R31/Datos!Q31)*11)/factor_trimestre," - ")),(IF(ISNUMBER(((Datos!L31/Datos!K31)*11)/factor_trimestre),((Datos!L31/Datos!K31)*11)/factor_trimestre," - ")))</f>
        <v>7.9429761332692612</v>
      </c>
      <c r="AP31" s="1131" t="str">
        <f>IF(ISNUMBER(Datos!CI31/Datos!CJ31),Datos!CI31/Datos!CJ31," - ")</f>
        <v xml:space="preserve"> - </v>
      </c>
      <c r="AQ31" s="1131">
        <f>IF(OR(ISNUMBER(FIND("01",Criterios!A8,1)),ISNUMBER(FIND("02",Criterios!A8,1)),ISNUMBER(FIND("03",Criterios!A8,1)),ISNUMBER(FIND("04",Criterios!A8,1))),(J31-Y31+K31)/(F31-K31),(I31-Y31+K31)/(F31-K31))</f>
        <v>-2.6792693288020391</v>
      </c>
      <c r="AR31" s="1131">
        <f>IF(ISNUMBER((Datos!P31-Datos!Q31+O31)/(Datos!R31-Datos!P31+Datos!Q31-O31)),(Datos!P31-Datos!Q31+O31)/(Datos!R31-Datos!P31+Datos!Q31-O31)," - ")</f>
        <v>2.6519337016574586E-2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631.5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1090.8592724916227</v>
      </c>
      <c r="G33" s="674">
        <f>IF(ISNUMBER(STDEV(G8:G30)),STDEV(G8:G30),"-")</f>
        <v>1066.1023805030572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639.81099639746049</v>
      </c>
      <c r="AK33" s="276"/>
      <c r="AL33" s="276">
        <f>IF(ISNUMBER(STDEV(AL8:AL30)),STDEV(AL8:AL30),"-")</f>
        <v>0</v>
      </c>
      <c r="AM33" s="278">
        <f>IF(ISNUMBER(STDEV(AM8:AM30)),STDEV(AM8:AM30),"-")</f>
        <v>0</v>
      </c>
      <c r="AN33" s="660">
        <f>IF(ISNUMBER(STDEV(AN8:AN30)),STDEV(AN8:AN30),"-")</f>
        <v>0</v>
      </c>
      <c r="AO33" s="661">
        <f>IF(ISNUMBER(STDEV(AO8:AO30)),STDEV(AO8:AO30),"-")</f>
        <v>4.0299055053134811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Nunlary2COtdweYNO+a+KtejjCVfDOnXwpaIvRfbHcZ1bR0LgAnlhi8P6Scz7fE2tfrqVI9iBlU+l2aYW49eAw==" saltValue="7izfyEHxH0lcrWjbLaa7V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FCLmHIHXgtGRIiwKWcWrAmWrz2w0s7gx0uy5pIRSrWrCh+RanLpine0qImBtLsIZStvBBRZpbRFLDul/Jz4zA==" saltValue="I4xozBw67BfdwY0qZ0f0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636</v>
      </c>
      <c r="DL5" s="1774" t="s">
        <v>640</v>
      </c>
      <c r="DM5" s="1777" t="s">
        <v>706</v>
      </c>
      <c r="DN5" s="1777" t="s">
        <v>707</v>
      </c>
      <c r="DO5" s="1777" t="s">
        <v>708</v>
      </c>
      <c r="DP5" s="1777" t="s">
        <v>709</v>
      </c>
      <c r="DQ5" s="1777" t="s">
        <v>710</v>
      </c>
      <c r="DR5" s="1777" t="s">
        <v>711</v>
      </c>
      <c r="DS5" s="1777" t="s">
        <v>712</v>
      </c>
      <c r="DT5" s="1777" t="s">
        <v>713</v>
      </c>
      <c r="DU5" s="1778" t="s">
        <v>714</v>
      </c>
      <c r="DV5" s="1756" t="s">
        <v>715</v>
      </c>
      <c r="DW5" s="1753" t="s">
        <v>716</v>
      </c>
      <c r="DX5" s="1777" t="s">
        <v>717</v>
      </c>
      <c r="DY5" s="1750" t="s">
        <v>718</v>
      </c>
      <c r="DZ5" s="1753" t="s">
        <v>719</v>
      </c>
      <c r="EA5" s="1750" t="s">
        <v>720</v>
      </c>
      <c r="EB5" s="1784" t="s">
        <v>780</v>
      </c>
      <c r="EC5" s="1784" t="s">
        <v>781</v>
      </c>
      <c r="ED5" s="1784" t="s">
        <v>782</v>
      </c>
      <c r="EE5" s="1784" t="s">
        <v>822</v>
      </c>
      <c r="EF5" s="1784" t="s">
        <v>826</v>
      </c>
      <c r="EG5" s="1750" t="s">
        <v>824</v>
      </c>
      <c r="EH5" s="1750" t="s">
        <v>825</v>
      </c>
      <c r="EI5" s="1750" t="s">
        <v>784</v>
      </c>
      <c r="EJ5" s="1750" t="s">
        <v>785</v>
      </c>
      <c r="EK5" s="1765" t="s">
        <v>873</v>
      </c>
      <c r="EL5" s="1768" t="s">
        <v>891</v>
      </c>
      <c r="EM5" s="1769"/>
      <c r="EN5" s="1770"/>
      <c r="EO5" s="1762" t="s">
        <v>991</v>
      </c>
      <c r="EP5" s="1762" t="s">
        <v>993</v>
      </c>
      <c r="EQ5" s="1762" t="s">
        <v>994</v>
      </c>
      <c r="ER5" s="1762" t="s">
        <v>1007</v>
      </c>
      <c r="ES5" s="1762" t="s">
        <v>1009</v>
      </c>
      <c r="ET5" s="1759" t="s">
        <v>1097</v>
      </c>
      <c r="EU5" s="1759" t="s">
        <v>1098</v>
      </c>
      <c r="EV5" s="1870" t="s">
        <v>1119</v>
      </c>
      <c r="EW5" s="1870" t="s">
        <v>1125</v>
      </c>
      <c r="EX5" s="1867" t="s">
        <v>1162</v>
      </c>
      <c r="EY5" s="1861" t="s">
        <v>1176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990</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892</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1099</v>
      </c>
      <c r="EU8" s="1519" t="s">
        <v>1100</v>
      </c>
      <c r="EV8" s="165" t="s">
        <v>1108</v>
      </c>
      <c r="EW8" s="165">
        <v>153</v>
      </c>
      <c r="EX8" s="532" t="s">
        <v>1161</v>
      </c>
      <c r="EY8" s="532" t="s">
        <v>1175</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rFCw249Sd+3q7R9A2g8n4C+Mm2o39aqfn3P0Nqr6mcoBTAvaXEq8l1NCxU2zx/UZmIoNVIF2uUTztHAZNJFsg==" saltValue="kXpkqeBBoEOK5W2RLzzDE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INCA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749</v>
      </c>
      <c r="F5" s="1914" t="s">
        <v>527</v>
      </c>
      <c r="G5" s="1885" t="s">
        <v>173</v>
      </c>
      <c r="H5" s="1885" t="s">
        <v>782</v>
      </c>
      <c r="I5" s="1885" t="s">
        <v>750</v>
      </c>
      <c r="J5" s="1885" t="s">
        <v>867</v>
      </c>
      <c r="K5" s="1885" t="s">
        <v>751</v>
      </c>
      <c r="L5" s="1885" t="s">
        <v>706</v>
      </c>
      <c r="M5" s="1917" t="s">
        <v>780</v>
      </c>
      <c r="N5" s="1885" t="s">
        <v>924</v>
      </c>
      <c r="O5" s="1885" t="s">
        <v>883</v>
      </c>
      <c r="P5" s="1885" t="s">
        <v>229</v>
      </c>
      <c r="Q5" s="1920" t="s">
        <v>879</v>
      </c>
      <c r="R5" s="1920" t="s">
        <v>925</v>
      </c>
      <c r="S5" s="1885" t="s">
        <v>783</v>
      </c>
      <c r="T5" s="1920" t="s">
        <v>752</v>
      </c>
      <c r="U5" s="1920" t="s">
        <v>1035</v>
      </c>
      <c r="V5" s="1920" t="s">
        <v>1036</v>
      </c>
      <c r="W5" s="1903" t="s">
        <v>808</v>
      </c>
      <c r="X5" s="1906" t="s">
        <v>753</v>
      </c>
      <c r="Y5" s="1903" t="s">
        <v>754</v>
      </c>
      <c r="Z5" s="1903" t="s">
        <v>755</v>
      </c>
      <c r="AA5" s="1885" t="s">
        <v>884</v>
      </c>
      <c r="AB5" s="1885" t="s">
        <v>890</v>
      </c>
      <c r="AC5" s="1885" t="s">
        <v>243</v>
      </c>
      <c r="AD5" s="1891" t="s">
        <v>241</v>
      </c>
      <c r="AE5" s="1885" t="s">
        <v>885</v>
      </c>
      <c r="AF5" s="1894" t="s">
        <v>886</v>
      </c>
      <c r="AG5" s="1897" t="s">
        <v>715</v>
      </c>
      <c r="AH5" s="1885" t="s">
        <v>716</v>
      </c>
      <c r="AI5" s="1885" t="s">
        <v>806</v>
      </c>
      <c r="AJ5" s="1900" t="s">
        <v>807</v>
      </c>
      <c r="AK5" s="1897" t="s">
        <v>244</v>
      </c>
      <c r="AL5" s="1885" t="s">
        <v>759</v>
      </c>
      <c r="AM5" s="1885" t="s">
        <v>322</v>
      </c>
      <c r="AN5" s="1885" t="s">
        <v>323</v>
      </c>
      <c r="AO5" s="1885" t="s">
        <v>324</v>
      </c>
      <c r="AP5" s="1885" t="s">
        <v>760</v>
      </c>
      <c r="AQ5" s="1885" t="s">
        <v>325</v>
      </c>
      <c r="AR5" s="1885" t="s">
        <v>761</v>
      </c>
      <c r="AS5" s="1885" t="s">
        <v>762</v>
      </c>
      <c r="AT5" s="1885" t="s">
        <v>763</v>
      </c>
      <c r="AU5" s="1885" t="s">
        <v>791</v>
      </c>
      <c r="AV5" s="1885" t="s">
        <v>784</v>
      </c>
      <c r="AW5" s="1885" t="s">
        <v>1120</v>
      </c>
      <c r="AX5" s="1885" t="s">
        <v>1124</v>
      </c>
      <c r="AY5" s="1885" t="s">
        <v>1126</v>
      </c>
      <c r="AZ5" s="1885" t="s">
        <v>785</v>
      </c>
      <c r="BA5" s="1885" t="s">
        <v>1176</v>
      </c>
      <c r="BB5" s="1885" t="s">
        <v>764</v>
      </c>
      <c r="BC5" s="1885" t="s">
        <v>714</v>
      </c>
      <c r="BW5" s="1885" t="s">
        <v>1037</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0.22228764905049314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0.15718110401761912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8wrwCeVLfcytZZ5vBd1TIebcEvrlW+FXGGG4SCN35o884lnzb0n8dQBY/NjAI5qB0b7abcF2sZYK4ZR8RYefkg==" saltValue="smyBnahx9soWyD5IG2Ei8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d09yUJC8HEtWlZcORyJCoewkyN1r9MXmnTtB7++JeNJ7o8T+DW0q1nvEoFw0nrPjYF/RERW1FlPCgFoIjGkWw==" saltValue="fir94gCdA4YzlwJcdqXb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INCA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996</v>
      </c>
      <c r="L5" s="1572" t="s">
        <v>1059</v>
      </c>
      <c r="M5" s="1572" t="s">
        <v>1163</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5369</v>
      </c>
      <c r="D9" s="452">
        <f>IF(ISNUMBER(C9/Datos!BH9),C9/Datos!BH9," - ")</f>
        <v>1073.8</v>
      </c>
      <c r="E9" s="451">
        <f>IF(ISNUMBER(IF(J_V="SI",Datos!J9,Datos!J9+Datos!Z9)),IF(J_V="SI",Datos!J9,Datos!J9+Datos!Z9)," - ")</f>
        <v>7448</v>
      </c>
      <c r="F9" s="452">
        <f>IF(ISNUMBER(E9/B9),E9/B9," - ")</f>
        <v>1489.6</v>
      </c>
      <c r="G9" s="451">
        <f>IF(ISNUMBER(IF(J_V="SI",Datos!K9,Datos!K9+Datos!AA9)),IF(J_V="SI",Datos!K9,Datos!K9+Datos!AA9)," - ")</f>
        <v>6708</v>
      </c>
      <c r="H9" s="452">
        <f>IF(ISNUMBER(G9/B9),G9/B9," - ")</f>
        <v>1341.6</v>
      </c>
      <c r="I9" s="451">
        <f>IF(ISNUMBER(IF(J_V="SI",Datos!L9,Datos!L9+Datos!AB9)),IF(J_V="SI",Datos!L9,Datos!L9+Datos!AB9)," - ")</f>
        <v>6156</v>
      </c>
      <c r="J9" s="452">
        <f>IF(ISNUMBER(I9/B9),I9/B9," - ")</f>
        <v>1231.2</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84</v>
      </c>
      <c r="D10" s="452">
        <f>IF(ISNUMBER(C10/Datos!BH10),C10/Datos!BH10," - ")</f>
        <v>84</v>
      </c>
      <c r="E10" s="451">
        <f>IF(ISNUMBER(Datos!J10),Datos!J10," - ")</f>
        <v>105</v>
      </c>
      <c r="F10" s="452">
        <f>IF(ISNUMBER(E10/B10),E10/B10," - ")</f>
        <v>105</v>
      </c>
      <c r="G10" s="451">
        <f>IF(ISNUMBER(Datos!K10),Datos!K10," - ")</f>
        <v>85</v>
      </c>
      <c r="H10" s="452">
        <f>IF(ISNUMBER(G10/B10),G10/B10," - ")</f>
        <v>85</v>
      </c>
      <c r="I10" s="451">
        <f>IF(ISNUMBER(Datos!L10),Datos!L10," - ")</f>
        <v>104</v>
      </c>
      <c r="J10" s="452">
        <f>IF(ISNUMBER(I10/B10),I10/B10," - ")</f>
        <v>104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5453</v>
      </c>
      <c r="D14" s="1147" t="str">
        <f>IF(ISNUMBER(C14/Datos!BI14),C14/Datos!BI14," - ")</f>
        <v xml:space="preserve"> - </v>
      </c>
      <c r="E14" s="1146">
        <f>SUBTOTAL(9,E8:E13)</f>
        <v>7553</v>
      </c>
      <c r="F14" s="1147">
        <f>IF(ISNUMBER(E14/B14),E14/B14," - ")</f>
        <v>1510.6</v>
      </c>
      <c r="G14" s="1146">
        <f>SUBTOTAL(9,G8:G13)</f>
        <v>6793</v>
      </c>
      <c r="H14" s="1147">
        <f>IF(ISNUMBER(G14/B14),G14/B14," - ")</f>
        <v>1358.6</v>
      </c>
      <c r="I14" s="1146">
        <f>SUBTOTAL(9,I8:I13)</f>
        <v>6260</v>
      </c>
      <c r="J14" s="1147">
        <f>IF(ISNUMBER(I14/B14),I14/B14," - ")</f>
        <v>1252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2267</v>
      </c>
      <c r="D16" s="452">
        <f>IF(ISNUMBER(C16/Datos!BH16),C16/Datos!BH16," - ")</f>
        <v>755.66666666666663</v>
      </c>
      <c r="E16" s="451">
        <f>IF(ISNUMBER(IF(D_I="SI",Datos!J16,Datos!J16+Datos!AD16)),IF(D_I="SI",Datos!J16,Datos!J16+Datos!AD16)," - ")</f>
        <v>5699</v>
      </c>
      <c r="F16" s="452">
        <f>IF(ISNUMBER(E16/B16),E16/B16," - ")</f>
        <v>1899.6666666666667</v>
      </c>
      <c r="G16" s="451">
        <f>IF(ISNUMBER(IF(D_I="SI",Datos!K16,Datos!K16+Datos!AE16)),IF(D_I="SI",Datos!K16,Datos!K16+Datos!AE16)," - ")</f>
        <v>5286</v>
      </c>
      <c r="H16" s="452">
        <f>IF(ISNUMBER(G16/B16),G16/B16," - ")</f>
        <v>1762</v>
      </c>
      <c r="I16" s="451">
        <f>IF(ISNUMBER(IF(D_I="SI",Datos!L16,Datos!L16+Datos!AF16)),IF(D_I="SI",Datos!L16,Datos!L16+Datos!AF16)," - ")</f>
        <v>2680</v>
      </c>
      <c r="J16" s="452">
        <f>IF(ISNUMBER(I16/B16),I16/B16," - ")</f>
        <v>893.33333333333337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3</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3</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172</v>
      </c>
      <c r="D18" s="452">
        <f>IF(ISNUMBER(C18/Datos!BH18),C18/Datos!BH18," - ")</f>
        <v>172</v>
      </c>
      <c r="E18" s="451">
        <f>IF(ISNUMBER(IF(D_I="SI",Datos!J18,Datos!J18+Datos!AD18)),IF(D_I="SI",Datos!J18,Datos!J18+Datos!AD18)," - ")</f>
        <v>990</v>
      </c>
      <c r="F18" s="452">
        <f>IF(ISNUMBER(E18/B18),E18/B18," - ")</f>
        <v>990</v>
      </c>
      <c r="G18" s="451">
        <f>IF(ISNUMBER(IF(D_I="SI",Datos!K18,Datos!K18+Datos!AE18)),IF(D_I="SI",Datos!K18,Datos!K18+Datos!AE18)," - ")</f>
        <v>936</v>
      </c>
      <c r="H18" s="452">
        <f>IF(ISNUMBER(G18/B18),G18/B18," - ")</f>
        <v>936</v>
      </c>
      <c r="I18" s="451">
        <f>IF(ISNUMBER(IF(D_I="SI",Datos!L18,Datos!L18+Datos!AF18)),IF(D_I="SI",Datos!L18,Datos!L18+Datos!AF18)," - ")</f>
        <v>226</v>
      </c>
      <c r="J18" s="452">
        <f>IF(ISNUMBER(I18/B18),I18/B18," - ")</f>
        <v>226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2442</v>
      </c>
      <c r="D23" s="1147" t="str">
        <f>IF(ISNUMBER(C23/Datos!BI23),C23/Datos!BI23," - ")</f>
        <v xml:space="preserve"> - </v>
      </c>
      <c r="E23" s="1146">
        <f>SUBTOTAL(9,E15:E22)</f>
        <v>6689</v>
      </c>
      <c r="F23" s="1147">
        <f>IF(ISNUMBER(E23/B23),E23/B23," - ")</f>
        <v>2229.6666666666665</v>
      </c>
      <c r="G23" s="1146">
        <f>SUBTOTAL(9,G15:G22)</f>
        <v>6222</v>
      </c>
      <c r="H23" s="1147">
        <f>IF(ISNUMBER(G23/B23),G23/B23," - ")</f>
        <v>2074</v>
      </c>
      <c r="I23" s="1146">
        <f>SUBTOTAL(9,I15:I22)</f>
        <v>2909</v>
      </c>
      <c r="J23" s="1147">
        <f>IF(ISNUMBER(I23/B23),I23/B23," - ")</f>
        <v>969.66666666666663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7895</v>
      </c>
      <c r="D31" s="1085" t="str">
        <f>IF(ISNUMBER(C31/Datos!BI31),C31/Datos!BI31," - ")</f>
        <v xml:space="preserve"> - </v>
      </c>
      <c r="E31" s="1084">
        <f>SUBTOTAL(9,E9:E30)</f>
        <v>14242</v>
      </c>
      <c r="F31" s="1085">
        <f>IF(ISNUMBER(E31/B31),E31/B31," - ")</f>
        <v>1780.25</v>
      </c>
      <c r="G31" s="1084">
        <f>SUBTOTAL(9,G9:G30)</f>
        <v>13015</v>
      </c>
      <c r="H31" s="1085">
        <f>IF(ISNUMBER(G31/B31),G31/B31," - ")</f>
        <v>1626.875</v>
      </c>
      <c r="I31" s="1084">
        <f>SUBTOTAL(9,I9:I30)</f>
        <v>9169</v>
      </c>
      <c r="J31" s="1085">
        <f>IF(ISNUMBER(I31/B31),I31/B31," - ")</f>
        <v>1146.125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vaklLRjWlgKjVj4OQOVsqmwYOvBSMw8Y62bMWgsDRAUazjkxpQ0xkeHmvtnD36riPctXsjUFAA3K2sEkuogXQg==" saltValue="UYSy+5LP5ykhFCrXFBbg2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INCA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749</v>
      </c>
      <c r="F5" s="1914" t="s">
        <v>527</v>
      </c>
      <c r="G5" s="1885" t="s">
        <v>173</v>
      </c>
      <c r="H5" s="1885" t="s">
        <v>898</v>
      </c>
      <c r="I5" s="1885" t="s">
        <v>899</v>
      </c>
      <c r="J5" s="1885" t="s">
        <v>902</v>
      </c>
      <c r="K5" s="1885" t="s">
        <v>903</v>
      </c>
      <c r="L5" s="1885" t="s">
        <v>780</v>
      </c>
      <c r="M5" s="1885" t="s">
        <v>924</v>
      </c>
      <c r="N5" s="1885" t="s">
        <v>904</v>
      </c>
      <c r="O5" s="1885" t="s">
        <v>900</v>
      </c>
      <c r="P5" s="1885" t="s">
        <v>229</v>
      </c>
      <c r="Q5" s="1885" t="s">
        <v>879</v>
      </c>
      <c r="R5" s="1885" t="s">
        <v>925</v>
      </c>
      <c r="S5" s="1885" t="str">
        <f>"Ingreso Computable 2003" &amp; IF(OR(EXACT(LEFT(boletin,2),"04"),EXACT(LEFT(boletin,2),"14"),EXACT(LEFT(boletin,2),"17"))," (Civil + Penal)","")</f>
        <v>Ingreso Computable 2003</v>
      </c>
      <c r="T5" s="1885" t="s">
        <v>901</v>
      </c>
      <c r="U5" s="1920" t="str">
        <f>"% Ingreso Computable 2003" &amp; IF(OR(EXACT(LEFT(boletin,2),"04"),EXACT(LEFT(boletin,2),"14"),EXACT(LEFT(boletin,2),"17"))," (Civil + Penal)","")</f>
        <v>% Ingreso Computable 2003</v>
      </c>
      <c r="V5" s="1920" t="s">
        <v>905</v>
      </c>
      <c r="W5" s="1885" t="s">
        <v>1029</v>
      </c>
      <c r="X5" s="1885" t="s">
        <v>1030</v>
      </c>
      <c r="Y5" s="1888" t="s">
        <v>870</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906</v>
      </c>
      <c r="AC5" s="1944" t="s">
        <v>907</v>
      </c>
      <c r="AD5" s="1944" t="s">
        <v>908</v>
      </c>
      <c r="AE5" s="1944" t="s">
        <v>909</v>
      </c>
      <c r="AF5" s="1885" t="s">
        <v>910</v>
      </c>
      <c r="AG5" s="1885" t="s">
        <v>911</v>
      </c>
      <c r="AH5" s="1885" t="s">
        <v>912</v>
      </c>
      <c r="AI5" s="1885" t="s">
        <v>913</v>
      </c>
      <c r="AJ5" s="1885" t="s">
        <v>243</v>
      </c>
      <c r="AK5" s="1897" t="s">
        <v>715</v>
      </c>
      <c r="AL5" s="1897" t="s">
        <v>244</v>
      </c>
      <c r="AM5" s="1885" t="s">
        <v>759</v>
      </c>
      <c r="AN5" s="1885" t="s">
        <v>322</v>
      </c>
      <c r="AO5" s="1885" t="s">
        <v>323</v>
      </c>
      <c r="AP5" s="1885" t="s">
        <v>914</v>
      </c>
      <c r="AQ5" s="1885" t="s">
        <v>915</v>
      </c>
      <c r="AR5" s="1885" t="s">
        <v>916</v>
      </c>
      <c r="AS5" s="1885" t="s">
        <v>917</v>
      </c>
      <c r="AT5" s="1885" t="s">
        <v>918</v>
      </c>
      <c r="AU5" s="1885" t="s">
        <v>919</v>
      </c>
      <c r="AV5" s="1885" t="s">
        <v>920</v>
      </c>
      <c r="AW5" s="1885" t="s">
        <v>921</v>
      </c>
      <c r="AX5" s="1885" t="s">
        <v>1120</v>
      </c>
      <c r="AY5" s="1885" t="s">
        <v>1124</v>
      </c>
      <c r="AZ5" s="1885" t="s">
        <v>922</v>
      </c>
      <c r="BA5" s="1885" t="s">
        <v>923</v>
      </c>
      <c r="BB5" s="1885" t="s">
        <v>714</v>
      </c>
      <c r="BC5" s="1744" t="s">
        <v>930</v>
      </c>
      <c r="BD5" s="1744" t="s">
        <v>931</v>
      </c>
      <c r="BE5" s="1914" t="s">
        <v>932</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84</v>
      </c>
      <c r="G10" s="906">
        <f>IF(ISNUMBER(Datos!I10),Datos!I10," - ")</f>
        <v>84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85</v>
      </c>
      <c r="AC10" s="905" t="str">
        <f>IF(ISNUMBER(IF(D_I="SI",DatosP!K18,DatosP!K18+DatosP!AE18)),IF(D_I="SI",DatosP!K18,DatosP!K18+DatosP!AE18)," - ")</f>
        <v xml:space="preserve"> - </v>
      </c>
      <c r="AD10" s="907"/>
      <c r="AE10" s="907"/>
      <c r="AF10" s="910">
        <f>IF(ISNUMBER(Datos!L10),Datos!L10,"-")</f>
        <v>104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27</v>
      </c>
      <c r="AM10" s="914">
        <f>IF(ISNUMBER(Datos!N10+DatosP!N18),Datos!N10+DatosP!N18," - ")</f>
        <v>39</v>
      </c>
      <c r="AN10" s="914">
        <f>IF(ISNUMBER(Datos!BW10+DatosP!BW18),Datos!BW10+DatosP!BW18," - ")</f>
        <v>0</v>
      </c>
      <c r="AO10" s="915">
        <f>IF(ISNUMBER(Datos!BX10+DatosP!BX18),Datos!BX10+DatosP!BX18," - ")</f>
        <v>0</v>
      </c>
      <c r="AP10" s="917">
        <f>IF(ISNUMBER(((Datos!L10/Datos!K10)*11)/factor_trimestre),((Datos!L10/Datos!K10)*11)/factor_trimestre," - ")</f>
        <v>13.458823529411767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84</v>
      </c>
      <c r="G14" s="1256">
        <f t="shared" si="0"/>
        <v>84</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85</v>
      </c>
      <c r="AC14" s="1257">
        <f t="shared" si="1"/>
        <v>0</v>
      </c>
      <c r="AD14" s="1257">
        <f t="shared" si="1"/>
        <v>0</v>
      </c>
      <c r="AE14" s="1257">
        <f t="shared" si="1"/>
        <v>0</v>
      </c>
      <c r="AF14" s="1257">
        <f t="shared" si="1"/>
        <v>104</v>
      </c>
      <c r="AG14" s="1257">
        <f t="shared" si="1"/>
        <v>0</v>
      </c>
      <c r="AH14" s="1257">
        <f t="shared" si="1"/>
        <v>0</v>
      </c>
      <c r="AI14" s="1257">
        <f t="shared" si="1"/>
        <v>0</v>
      </c>
      <c r="AJ14" s="1257">
        <f t="shared" si="1"/>
        <v>0</v>
      </c>
      <c r="AK14" s="1257">
        <f t="shared" si="1"/>
        <v>0</v>
      </c>
      <c r="AL14" s="1257">
        <f t="shared" si="1"/>
        <v>27</v>
      </c>
      <c r="AM14" s="1257">
        <f t="shared" si="1"/>
        <v>39</v>
      </c>
      <c r="AN14" s="1257">
        <f t="shared" si="1"/>
        <v>0</v>
      </c>
      <c r="AO14" s="1257">
        <f t="shared" si="1"/>
        <v>0</v>
      </c>
      <c r="AP14" s="1262">
        <f>IF(ISNUMBER(((Datos!L14/Datos!K14)*11)/factor_trimestre),((Datos!L14/Datos!K14)*11)/factor_trimestre," - ")</f>
        <v>10.724297573435503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-1.0119047619047619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5.1428801028608166</v>
      </c>
      <c r="AQ23" s="1262">
        <f>IF(ISNUMBER(((Datos!M23/Datos!L23)*11)/factor_trimestre),((Datos!M23/Datos!L23)*11)/factor_trimestre," - ")</f>
        <v>3.6641457545548297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3.1746031746031744E-2</v>
      </c>
      <c r="AW23" s="1265">
        <f>IF(ISNUMBER((Datos!Q23-Datos!R23)/(Datos!S23-Datos!Q23+Datos!R23)),(Datos!Q23-Datos!R23)/(Datos!S23-Datos!Q23+Datos!R23)," - ")</f>
        <v>-4.6296296296296294E-2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84</v>
      </c>
      <c r="G31" s="1278">
        <f t="shared" si="8"/>
        <v>84</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85</v>
      </c>
      <c r="AC31" s="1284">
        <f t="shared" si="9"/>
        <v>0</v>
      </c>
      <c r="AD31" s="1284">
        <f t="shared" si="9"/>
        <v>0</v>
      </c>
      <c r="AE31" s="1284">
        <f t="shared" si="9"/>
        <v>0</v>
      </c>
      <c r="AF31" s="1285">
        <f t="shared" si="9"/>
        <v>104</v>
      </c>
      <c r="AG31" s="1285">
        <f t="shared" si="9"/>
        <v>0</v>
      </c>
      <c r="AH31" s="1285">
        <f t="shared" si="9"/>
        <v>0</v>
      </c>
      <c r="AI31" s="1285">
        <f t="shared" si="9"/>
        <v>0</v>
      </c>
      <c r="AJ31" s="1286">
        <f t="shared" si="9"/>
        <v>0</v>
      </c>
      <c r="AK31" s="1286">
        <f t="shared" si="9"/>
        <v>0</v>
      </c>
      <c r="AL31" s="1278">
        <f t="shared" si="9"/>
        <v>27</v>
      </c>
      <c r="AM31" s="1278">
        <f t="shared" si="9"/>
        <v>39</v>
      </c>
      <c r="AN31" s="1278">
        <f t="shared" si="9"/>
        <v>0</v>
      </c>
      <c r="AO31" s="1278">
        <f t="shared" si="9"/>
        <v>0</v>
      </c>
      <c r="AP31" s="1278">
        <f>IF(ISNUMBER(((Datos!L31/Datos!K31)*11)/factor_trimestre),((Datos!L31/Datos!K31)*11)/factor_trimestre," - ")</f>
        <v>7.9429761332692612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-1.0119047619047619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2.6519337016574586E-2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46.008694830433953</v>
      </c>
      <c r="G33" s="1007">
        <f>IF(ISNUMBER(STDEV(G8:G30)),STDEV(G8:G30),"-")</f>
        <v>46.008694830433953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46.556417387939121</v>
      </c>
      <c r="AC33" s="1008">
        <f>IF(ISNUMBER(STDEV(AC8:AC30)),STDEV(AC8:AC30),"-")</f>
        <v>0</v>
      </c>
      <c r="AD33" s="1011"/>
      <c r="AE33" s="1011"/>
      <c r="AF33" s="1011"/>
      <c r="AG33" s="1011"/>
      <c r="AH33" s="1011"/>
      <c r="AI33" s="1011"/>
      <c r="AJ33" s="1012">
        <f>IF(ISNUMBER(STDEV(AJ8:AJ30)),STDEV(AJ8:AJ30),"-")</f>
        <v>0</v>
      </c>
      <c r="AK33" s="1014"/>
      <c r="AL33" s="1006">
        <f>IF(ISNUMBER(STDEV(AL8:AL30)),STDEV(AL8:AL30),"-")</f>
        <v>14.788509052639485</v>
      </c>
      <c r="AM33" s="1006"/>
      <c r="AN33" s="1006">
        <f>IF(ISNUMBER(STDEV(AN8:AN30)),STDEV(AN8:AN30),"-")</f>
        <v>0</v>
      </c>
      <c r="AO33" s="1012">
        <f>IF(ISNUMBER(STDEV(AO8:AO30)),STDEV(AO8:AO30),"-")</f>
        <v>0</v>
      </c>
      <c r="AP33" s="1065">
        <f>IF(ISNUMBER(STDEV(AP8:AP30)),STDEV(AP8:AP30),"-")</f>
        <v>4.2384110280925666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1GKow8xuOWNoOgab9r10A3lVEgsVTy6WZirt0ZwAhFIlVdhnbt/G9jN5fZklGomPIiKnSSSYosp2Jm2w7tpaeQ==" saltValue="QqLvGsrOkUg8k2lBPeEO1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INCA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9X7+WmO4d9OOId3BZatx5eZyJLYO8kimfeekBxW/5IVjHZjkAa/lHDDYJMQMYGNlsvpvUhtLZBOxX+vvr4+cEg==" saltValue="xfwvuu0BdiyFy0ddJQRkJ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INCA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1483</v>
      </c>
      <c r="E9" s="452">
        <f t="shared" ref="E9:E14" si="0">IF(ISNUMBER(D9/B9),D9/B9," - ")</f>
        <v>296.60000000000002</v>
      </c>
      <c r="F9" s="451">
        <f>IF(ISNUMBER(Datos!N9),Datos!N9," - ")</f>
        <v>2615</v>
      </c>
      <c r="G9" s="452">
        <f t="shared" ref="G9:G14" si="1">IF(ISNUMBER(F9/B9),F9/B9," - ")</f>
        <v>523</v>
      </c>
      <c r="H9" s="451">
        <f>IF(ISNUMBER(Datos!O9),Datos!O9," - ")</f>
        <v>2744</v>
      </c>
      <c r="I9" s="452">
        <f>IF(ISNUMBER(H9/B9),H9/B9," - ")</f>
        <v>548.79999999999995</v>
      </c>
    </row>
    <row r="10" spans="1:9">
      <c r="A10" s="450" t="str">
        <f>Datos!A10</f>
        <v>Jdos. Violencia contra la mujer</v>
      </c>
      <c r="B10" s="480">
        <f>Datos!AO10</f>
        <v>1</v>
      </c>
      <c r="C10" s="458">
        <f>Datos!AQ10</f>
        <v>0</v>
      </c>
      <c r="D10" s="451">
        <f>IF(ISNUMBER(Datos!M10),Datos!M10," - ")</f>
        <v>27</v>
      </c>
      <c r="E10" s="452">
        <f>IF(ISNUMBER(D10/B10),D10/B10," - ")</f>
        <v>27</v>
      </c>
      <c r="F10" s="451">
        <f>IF(ISNUMBER(Datos!N10),Datos!N10," - ")</f>
        <v>39</v>
      </c>
      <c r="G10" s="452">
        <f>IF(ISNUMBER(F10/B10),F10/B10," - ")</f>
        <v>39</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1510</v>
      </c>
      <c r="E14" s="1147">
        <f t="shared" si="0"/>
        <v>251.66666666666666</v>
      </c>
      <c r="F14" s="1146">
        <f>SUBTOTAL(9,F9:F13)</f>
        <v>2654</v>
      </c>
      <c r="G14" s="1147">
        <f t="shared" si="1"/>
        <v>442.33333333333331</v>
      </c>
      <c r="H14" s="1146">
        <f>SUBTOTAL(9,H9:H13)</f>
        <v>2749</v>
      </c>
      <c r="I14" s="1147">
        <f>IF(ISNUMBER(H14/B14),H14/B14," - ")</f>
        <v>458.16666666666669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727</v>
      </c>
      <c r="E16" s="452">
        <f t="shared" ref="E16:E23" si="3">IF(ISNUMBER(D16/B16),D16/B16," - ")</f>
        <v>242.33333333333334</v>
      </c>
      <c r="F16" s="451">
        <f>IF(ISNUMBER(Datos!N16),Datos!N16," - ")</f>
        <v>3357</v>
      </c>
      <c r="G16" s="452">
        <f t="shared" ref="G16:G23" si="4">IF(ISNUMBER(F16/B16),F16/B16," - ")</f>
        <v>1119</v>
      </c>
      <c r="H16" s="451">
        <f>IF(ISNUMBER(Datos!O16),Datos!O16," - ")</f>
        <v>98</v>
      </c>
      <c r="I16" s="452">
        <f t="shared" ref="I16:I22" si="5">IF(ISNUMBER(H16/B16),H16/B16," - ")</f>
        <v>32.666666666666664</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242</v>
      </c>
      <c r="E18" s="452">
        <f>IF(ISNUMBER(D18/B18),D18/B18," - ")</f>
        <v>242</v>
      </c>
      <c r="F18" s="451">
        <f>IF(ISNUMBER(Datos!N18),Datos!N18," - ")</f>
        <v>465</v>
      </c>
      <c r="G18" s="452">
        <f>IF(ISNUMBER(F18/B18),F18/B18," - ")</f>
        <v>465</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969</v>
      </c>
      <c r="E23" s="1147">
        <f t="shared" si="3"/>
        <v>242.25</v>
      </c>
      <c r="F23" s="1146">
        <f>SUBTOTAL(9,F16:F22)</f>
        <v>3822</v>
      </c>
      <c r="G23" s="1147">
        <f t="shared" si="4"/>
        <v>955.5</v>
      </c>
      <c r="H23" s="1146">
        <f>SUBTOTAL(9,H16:H22)</f>
        <v>100</v>
      </c>
      <c r="I23" s="1147">
        <f>IF(ISNUMBER(H23/B23),H23/B23," - ")</f>
        <v>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2479</v>
      </c>
      <c r="E31" s="1085">
        <f>IF(ISNUMBER(D31/B31),D31/B31," - ")</f>
        <v>309.875</v>
      </c>
      <c r="F31" s="1084">
        <f>SUBTOTAL(9,F8:F30)</f>
        <v>6476</v>
      </c>
      <c r="G31" s="1085">
        <f>IF(ISNUMBER(F31/B31),F31/B31," - ")</f>
        <v>809.5</v>
      </c>
      <c r="H31" s="1084">
        <f>SUBTOTAL(9,H8:H30)</f>
        <v>2849</v>
      </c>
      <c r="I31" s="1085">
        <f>IF(ISNUMBER(H31/B31),H31/B31," - ")</f>
        <v>356.125</v>
      </c>
    </row>
    <row r="34" spans="1:1">
      <c r="A34" s="439" t="str">
        <f>Criterios!A4</f>
        <v>Fecha Informe: 14 abr. 2023</v>
      </c>
    </row>
    <row r="39" spans="1:1">
      <c r="A39" s="462"/>
    </row>
  </sheetData>
  <sheetProtection algorithmName="SHA-512" hashValue="IEX5hNtx3Zgjffj1DBWEaMBsJIeN9OlaArDiLjXIiFd2x0n2F49Tu68e1RZ9q+vUcapHI6dnaZpkqFiWlzTv0Q==" saltValue="quQEsV2ayW4iWbMW4jIq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INCA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1262</v>
      </c>
      <c r="C9" s="489">
        <f>IF(ISNUMBER(Datos!Q9),Datos!Q9," - ")</f>
        <v>1058</v>
      </c>
      <c r="D9" s="456">
        <f>IF(ISNUMBER(Datos!R9),Datos!R9," - ")</f>
        <v>8068</v>
      </c>
    </row>
    <row r="10" spans="1:4">
      <c r="A10" s="450" t="str">
        <f>Datos!A10</f>
        <v>Jdos. Violencia contra la mujer</v>
      </c>
      <c r="B10" s="488">
        <f>IF(ISNUMBER(Datos!P10),Datos!P10," - ")</f>
        <v>10</v>
      </c>
      <c r="C10" s="489">
        <f>IF(ISNUMBER(Datos!Q10),Datos!Q10," - ")</f>
        <v>6</v>
      </c>
      <c r="D10" s="456">
        <f>IF(ISNUMBER(Datos!R10),Datos!R10," - ")</f>
        <v>33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1272</v>
      </c>
      <c r="C14" s="1150">
        <f>SUBTOTAL(9,C9:C13)</f>
        <v>1064</v>
      </c>
      <c r="D14" s="1148">
        <f>SUBTOTAL(9,D9:D13)</f>
        <v>8101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135</v>
      </c>
      <c r="C16" s="489">
        <f>IF(ISNUMBER(Datos!Q16),Datos!Q16," - ")</f>
        <v>133</v>
      </c>
      <c r="D16" s="456">
        <f>IF(ISNUMBER(Datos!R16),Datos!R16," - ")</f>
        <v>250</v>
      </c>
    </row>
    <row r="17" spans="1:4">
      <c r="A17" s="450" t="str">
        <f>Datos!A17</f>
        <v xml:space="preserve">Jdos. 1ª Instª. e Instr.                        </v>
      </c>
      <c r="B17" s="488">
        <f>IF(ISNUMBER(Datos!P17),Datos!P17," - ")</f>
        <v>0</v>
      </c>
      <c r="C17" s="489">
        <f>IF(ISNUMBER(Datos!Q17),Datos!Q17," - ")</f>
        <v>1</v>
      </c>
      <c r="D17" s="456">
        <f>IF(ISNUMBER(Datos!R17),Datos!R17," - ")</f>
        <v>1</v>
      </c>
    </row>
    <row r="18" spans="1:4">
      <c r="A18" s="450" t="str">
        <f>Datos!A18</f>
        <v>Jdos. Violencia contra la mujer</v>
      </c>
      <c r="B18" s="488">
        <f>IF(ISNUMBER(Datos!P18),Datos!P18," - ")</f>
        <v>18</v>
      </c>
      <c r="C18" s="489">
        <f>IF(ISNUMBER(Datos!Q18),Datos!Q18," - ")</f>
        <v>11</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153</v>
      </c>
      <c r="C23" s="1150">
        <f>SUBTOTAL(9,C16:C22)</f>
        <v>145</v>
      </c>
      <c r="D23" s="1148">
        <f>SUBTOTAL(9,D16:D22)</f>
        <v>260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1425</v>
      </c>
      <c r="C31" s="1089">
        <f>SUBTOTAL(9,C8:C30)</f>
        <v>1209</v>
      </c>
      <c r="D31" s="1090">
        <f>SUBTOTAL(9,D8:D30)</f>
        <v>8361</v>
      </c>
    </row>
    <row r="32" spans="1:4" ht="7.5" customHeight="1"/>
    <row r="33" spans="1:1" ht="6" customHeight="1"/>
    <row r="34" spans="1:1">
      <c r="A34" s="439" t="str">
        <f>Criterios!A4</f>
        <v>Fecha Informe: 14 abr. 2023</v>
      </c>
    </row>
    <row r="39" spans="1:1">
      <c r="A39" s="462"/>
    </row>
  </sheetData>
  <sheetProtection algorithmName="SHA-512" hashValue="2HjEVqXT7ir0J1qn72yrMdspJyHVkJR+AnJZn8krmhqDXyVnRLOV3xwtvFCEUyFGGdZcXD/Xq2Kt/69R357l3Q==" saltValue="QnNoq8OxIt3EN6s+9Gxq6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INCA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0.12746745065098697</v>
      </c>
      <c r="C9" s="515">
        <f>IF(ISNUMBER(
   IF(J_V="SI",(Datos!J9-Datos!T9)/Datos!T9,(Datos!J9+Datos!Z9-(Datos!T9+Datos!AH9))/(Datos!T9+Datos!AH9))
     ),IF(J_V="SI",(Datos!J9-Datos!T9)/Datos!T9,(Datos!J9+Datos!Z9-(Datos!T9+Datos!AH9))/(Datos!T9+Datos!AH9))," - ")</f>
        <v>0.13191489361702127</v>
      </c>
      <c r="D9" s="515">
        <f>IF(ISNUMBER(
   IF(J_V="SI",(Datos!K9-Datos!U9)/Datos!U9,(Datos!K9+Datos!AA9-(Datos!U9+Datos!AI9))/(Datos!U9+Datos!AI9))
     ),IF(J_V="SI",(Datos!K9-Datos!U9)/Datos!U9,(Datos!K9+Datos!AA9-(Datos!U9+Datos!AI9))/(Datos!U9+Datos!AI9))," - ")</f>
        <v>0.14392905866302866</v>
      </c>
      <c r="E9" s="515">
        <f>IF(ISNUMBER(
   IF(J_V="SI",(Datos!L9-Datos!V9)/Datos!V9,(Datos!L9+Datos!AB9-(Datos!V9+Datos!AJ9))/(Datos!V9+Datos!AJ9))
     ),IF(J_V="SI",(Datos!L9-Datos!V9)/Datos!V9,(Datos!L9+Datos!AB9-(Datos!V9+Datos!AJ9))/(Datos!V9+Datos!AJ9))," - ")</f>
        <v>0.14658223132799403</v>
      </c>
      <c r="F9" s="515">
        <f>IF(ISNUMBER((Datos!M9-Datos!W9)/Datos!W9),(Datos!M9-Datos!W9)/Datos!W9," - ")</f>
        <v>0.17140600315955767</v>
      </c>
      <c r="G9" s="516">
        <f>IF(ISNUMBER((Datos!N9-Datos!X9)/Datos!X9),(Datos!N9-Datos!X9)/Datos!X9," - ")</f>
        <v>2.5892506865437426E-2</v>
      </c>
      <c r="H9" s="514">
        <f>IF(ISNUMBER(((NºAsuntos!G9/NºAsuntos!E9)-Datos!BD9)/Datos!BD9),((NºAsuntos!G9/NºAsuntos!E9)-Datos!BD9)/Datos!BD9," - ")</f>
        <v>1.0614017991773377E-2</v>
      </c>
      <c r="I9" s="515">
        <f>IF(ISNUMBER(((NºAsuntos!I9/NºAsuntos!G9)-Datos!BE9)/Datos!BE9),((NºAsuntos!I9/NºAsuntos!G9)-Datos!BE9)/Datos!BE9," - ")</f>
        <v>2.3193507017526694E-3</v>
      </c>
      <c r="J9" s="521">
        <f>IF(ISNUMBER((('Resol  Asuntos'!D9/NºAsuntos!G9)-Datos!BF9)/Datos!BF9),(('Resol  Asuntos'!D9/NºAsuntos!G9)-Datos!BF9)/Datos!BF9," - ")</f>
        <v>-0.4914048396216506</v>
      </c>
      <c r="K9" s="522">
        <f>IF(ISNUMBER((((NºAsuntos!C9+NºAsuntos!E9)/NºAsuntos!G9)-Datos!BG9)/Datos!BG9),(((NºAsuntos!C9+NºAsuntos!E9)/NºAsuntos!G9)-Datos!BG9)/Datos!BG9," - ")</f>
        <v>-1.2134885382292685E-2</v>
      </c>
    </row>
    <row r="10" spans="1:11">
      <c r="A10" s="450" t="str">
        <f>Datos!A10</f>
        <v>Jdos. Violencia contra la mujer</v>
      </c>
      <c r="B10" s="514">
        <f>IF(ISNUMBER((Datos!I10-Datos!S10)/Datos!S10),(Datos!I10-Datos!S10)/Datos!S10," - ")</f>
        <v>7.6923076923076927E-2</v>
      </c>
      <c r="C10" s="515">
        <f>IF(ISNUMBER((Datos!J10-Datos!T10)/Datos!T10),(Datos!J10-Datos!T10)/Datos!T10," - ")</f>
        <v>0.10526315789473684</v>
      </c>
      <c r="D10" s="515">
        <f>IF(ISNUMBER((Datos!K10-Datos!U10)/Datos!U10),(Datos!K10-Datos!U10)/Datos!U10," - ")</f>
        <v>-4.49438202247191E-2</v>
      </c>
      <c r="E10" s="515">
        <f>IF(ISNUMBER((Datos!L10-Datos!V10)/Datos!V10),(Datos!L10-Datos!V10)/Datos!V10," - ")</f>
        <v>0.23809523809523808</v>
      </c>
      <c r="F10" s="515">
        <f>IF(ISNUMBER((Datos!M10-Datos!W10)/Datos!W10),(Datos!M10-Datos!W10)/Datos!W10," - ")</f>
        <v>-0.38636363636363635</v>
      </c>
      <c r="G10" s="516">
        <f>IF(ISNUMBER((Datos!N10-Datos!X10)/Datos!X10),(Datos!N10-Datos!X10)/Datos!X10," - ")</f>
        <v>1.4375</v>
      </c>
      <c r="H10" s="514">
        <f>IF(ISNUMBER(((NºAsuntos!G10/NºAsuntos!E10)-Datos!BD10)/Datos!BD10),((NºAsuntos!G10/NºAsuntos!E10)-Datos!BD10)/Datos!BD10," - ")</f>
        <v>-0.13590155163188872</v>
      </c>
      <c r="I10" s="515">
        <f>IF(ISNUMBER(((NºAsuntos!I10/NºAsuntos!G10)-Datos!BE10)/Datos!BE10),((NºAsuntos!I10/NºAsuntos!G10)-Datos!BE10)/Datos!BE10," - ")</f>
        <v>0.29635854341736706</v>
      </c>
      <c r="J10" s="521">
        <f>IF(ISNUMBER((('Resol  Asuntos'!D10/NºAsuntos!G10)-Datos!BF10)/Datos!BF10),(('Resol  Asuntos'!D10/NºAsuntos!G10)-Datos!BF10)/Datos!BF10," - ")</f>
        <v>-0.35748663101604278</v>
      </c>
      <c r="K10" s="522">
        <f>IF(ISNUMBER((((NºAsuntos!C10+NºAsuntos!E10)/NºAsuntos!G10)-Datos!BG10)/Datos!BG10),(((NºAsuntos!C10+NºAsuntos!E10)/NºAsuntos!G10)-Datos!BG10)/Datos!BG10," - ")</f>
        <v>0.14389663379802789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0.12665289256198348</v>
      </c>
      <c r="C14" s="1152">
        <f>IF(ISNUMBER(
   IF(J_V="SI",(Datos!J14-Datos!T14)/Datos!T14,(Datos!J14+Datos!Z14-(Datos!T14+Datos!AH14))/(Datos!T14+Datos!AH14))
     ),IF(J_V="SI",(Datos!J14-Datos!T14)/Datos!T14,(Datos!J14+Datos!Z14-(Datos!T14+Datos!AH14))/(Datos!T14+Datos!AH14))," - ")</f>
        <v>0.13153558052434458</v>
      </c>
      <c r="D14" s="1152">
        <f>IF(ISNUMBER(
   IF(J_V="SI",(Datos!K14-Datos!U14)/Datos!U14,(Datos!K14+Datos!AA14-(Datos!U14+Datos!AI14))/(Datos!U14+Datos!AI14))
     ),IF(J_V="SI",(Datos!K14-Datos!U14)/Datos!U14,(Datos!K14+Datos!AA14-(Datos!U14+Datos!AI14))/(Datos!U14+Datos!AI14))," - ")</f>
        <v>0.14110532504619519</v>
      </c>
      <c r="E14" s="1152">
        <f>IF(ISNUMBER(
   IF(J_V="SI",(Datos!L14-Datos!V14)/Datos!V14,(Datos!L14+Datos!AB14-(Datos!V14+Datos!AJ14))/(Datos!V14+Datos!AJ14))
     ),IF(J_V="SI",(Datos!L14-Datos!V14)/Datos!V14,(Datos!L14+Datos!AB14-(Datos!V14+Datos!AJ14))/(Datos!V14+Datos!AJ14))," - ")</f>
        <v>0.14799193104713002</v>
      </c>
      <c r="F14" s="1153">
        <f>IF(ISNUMBER((Datos!M14-Datos!W14)/Datos!W14),(Datos!M14-Datos!W14)/Datos!W14," - ")</f>
        <v>0.15267175572519084</v>
      </c>
      <c r="G14" s="1154">
        <f>IF(ISNUMBER((Datos!N14-Datos!X14)/Datos!X14),(Datos!N14-Datos!X14)/Datos!X14," - ")</f>
        <v>3.4697855750487332E-2</v>
      </c>
      <c r="H14" s="1154">
        <f>IF(ISNUMBER(((NºAsuntos!G14/NºAsuntos!E14)-Datos!BD14)/Datos!BD14),((NºAsuntos!G14/NºAsuntos!E14)-Datos!BD14)/Datos!BD14," - ")</f>
        <v>8.4573076503844432E-3</v>
      </c>
      <c r="I14" s="1154">
        <f>IF(ISNUMBER(((NºAsuntos!I14/NºAsuntos!G14)-Datos!BE14)/Datos!BE14),((NºAsuntos!I14/NºAsuntos!G14)-Datos!BE14)/Datos!BE14," - ")</f>
        <v>6.0350309912505272E-3</v>
      </c>
      <c r="J14" s="1154">
        <f>IF(ISNUMBER((('Resol  Asuntos'!D14/NºAsuntos!G14)-Datos!BF14)/Datos!BF14),(('Resol  Asuntos'!D14/NºAsuntos!G14)-Datos!BF14)/Datos!BF14," - ")</f>
        <v>-0.48967282113475297</v>
      </c>
      <c r="K14" s="1154">
        <f>IF(ISNUMBER((((NºAsuntos!C14+NºAsuntos!E14)/NºAsuntos!G14)-Datos!BG14)/Datos!BG14),(((NºAsuntos!C14+NºAsuntos!E14)/NºAsuntos!G14)-Datos!BG14)/Datos!BG14," - ")</f>
        <v>-1.0184898901381148E-2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5.1972157772621812E-2</v>
      </c>
      <c r="C16" s="515">
        <f>IF(ISNUMBER(
   IF(D_I="SI",(Datos!J16-Datos!T16)/Datos!T16,(Datos!J16+Datos!AD16-(Datos!T16+Datos!AL16))/(Datos!T16+Datos!AL16))
     ),IF(D_I="SI",(Datos!J16-Datos!T16)/Datos!T16,(Datos!J16+Datos!AD16-(Datos!T16+Datos!AL16))/(Datos!T16+Datos!AL16))," - ")</f>
        <v>2.814360454627458E-2</v>
      </c>
      <c r="D16" s="515">
        <f>IF(ISNUMBER(
   IF(D_I="SI",(Datos!K16-Datos!U16)/Datos!U16,(Datos!K16+Datos!AE16-(Datos!U16+Datos!AM16))/(Datos!U16+Datos!AM16))
     ),IF(D_I="SI",(Datos!K16-Datos!U16)/Datos!U16,(Datos!K16+Datos!AE16-(Datos!U16+Datos!AM16))/(Datos!U16+Datos!AM16))," - ")</f>
        <v>-2.759381898454746E-2</v>
      </c>
      <c r="E16" s="515">
        <f>IF(ISNUMBER(
   IF(D_I="SI",(Datos!L16-Datos!V16)/Datos!V16,(Datos!L16+Datos!AF16-(Datos!V16+Datos!AN16))/(Datos!V16+Datos!AN16))
     ),IF(D_I="SI",(Datos!L16-Datos!V16)/Datos!V16,(Datos!L16+Datos!AF16-(Datos!V16+Datos!AN16))/(Datos!V16+Datos!AN16))," - ")</f>
        <v>0.18217909131010146</v>
      </c>
      <c r="F16" s="515">
        <f>IF(ISNUMBER((Datos!M16-Datos!W16)/Datos!W16),(Datos!M16-Datos!W16)/Datos!W16," - ")</f>
        <v>7.3855243722304287E-2</v>
      </c>
      <c r="G16" s="516">
        <f>IF(ISNUMBER((Datos!N16-Datos!X16)/Datos!X16),(Datos!N16-Datos!X16)/Datos!X16," - ")</f>
        <v>-6.4641961549178048E-2</v>
      </c>
      <c r="H16" s="514">
        <f>IF(ISNUMBER(((NºAsuntos!G16/NºAsuntos!E16)-Datos!BD16)/Datos!BD16),((NºAsuntos!G16/NºAsuntos!E16)-Datos!BD16)/Datos!BD16," - ")</f>
        <v>-5.4211710586303988E-2</v>
      </c>
      <c r="I16" s="515">
        <f>IF(ISNUMBER(((NºAsuntos!I16/NºAsuntos!G16)-Datos!BE16)/Datos!BE16),((NºAsuntos!I16/NºAsuntos!G16)-Datos!BE16)/Datos!BE16," - ")</f>
        <v>0.21572560354932105</v>
      </c>
      <c r="J16" s="521">
        <f>IF(ISNUMBER((('Resol  Asuntos'!D16/NºAsuntos!G16)-Datos!BF16)/Datos!BF16),(('Resol  Asuntos'!D16/NºAsuntos!G16)-Datos!BF16)/Datos!BF16," - ")</f>
        <v>0.10432786698343663</v>
      </c>
      <c r="K16" s="522">
        <f>IF(ISNUMBER((((NºAsuntos!C16+NºAsuntos!E16)/NºAsuntos!G16)-Datos!BG16)/Datos!BG16),(((NºAsuntos!C16+NºAsuntos!E16)/NºAsuntos!G16)-Datos!BG16)/Datos!BG16," - ")</f>
        <v>6.4179000161900576E-2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-0.5714285714285714</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-1</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-0.16908212560386474</v>
      </c>
      <c r="C18" s="515">
        <f>IF(ISNUMBER(
   IF(D_I="SI",(Datos!J18-Datos!T18)/Datos!T18,(Datos!J18+Datos!AD18-(Datos!T18+Datos!AL18))/(Datos!T18+Datos!AL18))
     ),IF(D_I="SI",(Datos!J18-Datos!T18)/Datos!T18,(Datos!J18+Datos!AD18-(Datos!T18+Datos!AL18))/(Datos!T18+Datos!AL18))," - ")</f>
        <v>9.5132743362831854E-2</v>
      </c>
      <c r="D18" s="515">
        <f>IF(ISNUMBER(
   IF(D_I="SI",(Datos!K18-Datos!U18)/Datos!U18,(Datos!K18+Datos!AE18-(Datos!U18+Datos!AM18))/(Datos!U18+Datos!AM18))
     ),IF(D_I="SI",(Datos!K18-Datos!U18)/Datos!U18,(Datos!K18+Datos!AE18-(Datos!U18+Datos!AM18))/(Datos!U18+Datos!AM18))," - ")</f>
        <v>-3.1948881789137379E-3</v>
      </c>
      <c r="E18" s="515">
        <f>IF(ISNUMBER(
   IF(D_I="SI",(Datos!L18-Datos!V18)/Datos!V18,(Datos!L18+Datos!AF18-(Datos!V18+Datos!AN18))/(Datos!V18+Datos!AN18))
     ),IF(D_I="SI",(Datos!L18-Datos!V18)/Datos!V18,(Datos!L18+Datos!AF18-(Datos!V18+Datos!AN18))/(Datos!V18+Datos!AN18))," - ")</f>
        <v>0.31395348837209303</v>
      </c>
      <c r="F18" s="515">
        <f>IF(ISNUMBER((Datos!M18-Datos!W18)/Datos!W18),(Datos!M18-Datos!W18)/Datos!W18," - ")</f>
        <v>0.14691943127962084</v>
      </c>
      <c r="G18" s="516">
        <f>IF(ISNUMBER((Datos!N18-Datos!X18)/Datos!X18),(Datos!N18-Datos!X18)/Datos!X18," - ")</f>
        <v>9.154929577464789E-2</v>
      </c>
      <c r="H18" s="514">
        <f>IF(ISNUMBER(((NºAsuntos!G18/NºAsuntos!E18)-Datos!BD18)/Datos!BD18),((NºAsuntos!G18/NºAsuntos!E18)-Datos!BD18)/Datos!BD18," - ")</f>
        <v>-8.9786039306806023E-2</v>
      </c>
      <c r="I18" s="515">
        <f>IF(ISNUMBER(((NºAsuntos!I18/NºAsuntos!G18)-Datos!BE18)/Datos!BE18),((NºAsuntos!I18/NºAsuntos!G18)-Datos!BE18)/Datos!BE18," - ")</f>
        <v>0.31816487775790103</v>
      </c>
      <c r="J18" s="521">
        <f>IF(ISNUMBER((('Resol  Asuntos'!D18/NºAsuntos!G18)-Datos!BF18)/Datos!BF18),(('Resol  Asuntos'!D18/NºAsuntos!G18)-Datos!BF18)/Datos!BF18," - ")</f>
        <v>0.15059545509782482</v>
      </c>
      <c r="K18" s="522">
        <f>IF(ISNUMBER((((NºAsuntos!C18+NºAsuntos!E18)/NºAsuntos!G18)-Datos!BG18)/Datos!BG18),(((NºAsuntos!C18+NºAsuntos!E18)/NºAsuntos!G18)-Datos!BG18)/Datos!BG18," - ")</f>
        <v>4.9256848761799206E-2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3.0814689742507388E-2</v>
      </c>
      <c r="C23" s="1152">
        <f>IF(ISNUMBER(
   IF(Criterios!B14="SI",(Datos!J23-Datos!T23)/Datos!T23,(Datos!J23+Datos!AD23-(Datos!T23+Datos!AL23))/(Datos!T23+Datos!AL23))
     ),IF(Criterios!B14="SI",(Datos!J23-Datos!T23)/Datos!T23,(Datos!J23+Datos!AD23-(Datos!T23+Datos!AL23))/(Datos!T23+Datos!AL23))," - ")</f>
        <v>3.7536838839770437E-2</v>
      </c>
      <c r="D23" s="1152">
        <f>IF(ISNUMBER(
   IF(Criterios!B14="SI",(Datos!K23-Datos!U23)/Datos!U23,(Datos!K23+Datos!AE23-(Datos!U23+Datos!AM23))/(Datos!U23+Datos!AM23))
     ),IF(Criterios!B14="SI",(Datos!K23-Datos!U23)/Datos!U23,(Datos!K23+Datos!AE23-(Datos!U23+Datos!AM23))/(Datos!U23+Datos!AM23))," - ")</f>
        <v>-2.4612008151747924E-2</v>
      </c>
      <c r="E23" s="1152">
        <f>IF(ISNUMBER(
   IF(Criterios!B14="SI",(Datos!L23-Datos!V23)/Datos!V23,(Datos!L23+Datos!AF23-(Datos!V23+Datos!AN23))/(Datos!V23+Datos!AN23))
     ),IF(Criterios!B14="SI",(Datos!L23-Datos!V23)/Datos!V23,(Datos!L23+Datos!AF23-(Datos!V23+Datos!AN23))/(Datos!V23+Datos!AN23))," - ")</f>
        <v>0.19123669123669124</v>
      </c>
      <c r="F23" s="1153">
        <f>IF(ISNUMBER((Datos!M23-Datos!W23)/Datos!W23),(Datos!M23-Datos!W23)/Datos!W23," - ")</f>
        <v>9.1216216216216214E-2</v>
      </c>
      <c r="G23" s="1154">
        <f>IF(ISNUMBER((Datos!N23-Datos!X23)/Datos!X23),(Datos!N23-Datos!X23)/Datos!X23," - ")</f>
        <v>-4.8069738480697385E-2</v>
      </c>
      <c r="H23" s="1154">
        <f>IF(ISNUMBER(((NºAsuntos!G23/NºAsuntos!E23)-Datos!BD23)/Datos!BD23),((NºAsuntos!G23/NºAsuntos!E23)-Datos!BD23)/Datos!BD23," - ")</f>
        <v>-5.9900376222801498E-2</v>
      </c>
      <c r="I23" s="1154">
        <f>IF(ISNUMBER(((NºAsuntos!I23/NºAsuntos!G23)-Datos!BE23)/Datos!BE23),((NºAsuntos!I23/NºAsuntos!G23)-Datos!BE23)/Datos!BE23," - ")</f>
        <v>0.22129521912549871</v>
      </c>
      <c r="J23" s="1154">
        <f>IF(ISNUMBER((('Resol  Asuntos'!D23/NºAsuntos!G23)-Datos!BF23)/Datos!BF23),(('Resol  Asuntos'!D23/NºAsuntos!G23)-Datos!BF23)/Datos!BF23," - ")</f>
        <v>0.11875092305420182</v>
      </c>
      <c r="K23" s="1154">
        <f>IF(ISNUMBER((((NºAsuntos!C23+NºAsuntos!E23)/NºAsuntos!G23)-Datos!BG23)/Datos!BG23),(((NºAsuntos!C23+NºAsuntos!E23)/NºAsuntos!G23)-Datos!BG23)/Datos!BG23," - ")</f>
        <v>6.1865123083537706E-2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9.5158829241226248E-2</v>
      </c>
      <c r="C31" s="1092">
        <f>IF(ISNUMBER(
   IF(J_V="SI",(Datos!J31-Datos!T31)/Datos!T31,(Datos!J31+Datos!Z31-(Datos!T31+Datos!AH31))/(Datos!T31+Datos!AH31))
     ),IF(J_V="SI",(Datos!J31-Datos!T31)/Datos!T31,(Datos!J31+Datos!Z31-(Datos!T31+Datos!AH31))/(Datos!T31+Datos!AH31))," - ")</f>
        <v>8.5352842554488648E-2</v>
      </c>
      <c r="D31" s="1092">
        <f>IF(ISNUMBER(
   IF(J_V="SI",(Datos!K31-Datos!U31)/Datos!U31,(Datos!K31+Datos!AA31-(Datos!U31+Datos!AI31))/(Datos!U31+Datos!AI31))
     ),IF(J_V="SI",(Datos!K31-Datos!U31)/Datos!U31,(Datos!K31+Datos!AA31-(Datos!U31+Datos!AI31))/(Datos!U31+Datos!AI31))," - ")</f>
        <v>5.538436587739215E-2</v>
      </c>
      <c r="E31" s="1092">
        <f>IF(ISNUMBER(
   IF(J_V="SI",(Datos!L31-Datos!V31)/Datos!V31,(Datos!L31+Datos!AB31-(Datos!V31+Datos!AJ31))/(Datos!V31+Datos!AJ31))
     ),IF(J_V="SI",(Datos!L31-Datos!V31)/Datos!V31,(Datos!L31+Datos!AB31-(Datos!V31+Datos!AJ31))/(Datos!V31+Datos!AJ31))," - ")</f>
        <v>0.16136795440151994</v>
      </c>
      <c r="F31" s="1093">
        <f>IF(ISNUMBER((Datos!M31-Datos!W31)/Datos!W31),(Datos!M31-Datos!W31)/Datos!W31," - ")</f>
        <v>0.12784349408553231</v>
      </c>
      <c r="G31" s="1094">
        <f>IF(ISNUMBER((Datos!N31-Datos!X31)/Datos!X31),(Datos!N31-Datos!X31)/Datos!X31," - ")</f>
        <v>-1.5805471124620062E-2</v>
      </c>
      <c r="H31" s="1095">
        <f>IF(ISNUMBER((Tasas!B31-Datos!BD31)/Datos!BD31),(Tasas!B31-Datos!BD31)/Datos!BD31," - ")</f>
        <v>-2.7611736480610882E-2</v>
      </c>
      <c r="I31" s="1096">
        <f>IF(ISNUMBER((Tasas!C31-Datos!BE31)/Datos!BE31),(Tasas!C31-Datos!BE31)/Datos!BE31," - ")</f>
        <v>0.10042179129308841</v>
      </c>
      <c r="J31" s="1097">
        <f>IF(ISNUMBER((Tasas!D31-Datos!BF31)/Datos!BF31),(Tasas!D31-Datos!BF31)/Datos!BF31," - ")</f>
        <v>-0.3252205513206371</v>
      </c>
      <c r="K31" s="1097">
        <f>IF(ISNUMBER((Tasas!E31-Datos!BG31)/Datos!BG31),(Tasas!E31-Datos!BG31)/Datos!BG31," - ")</f>
        <v>3.1690349910668769E-2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QFcwS4ol05B7B8XtFk5NHF6J7DOW/2i+XW/BzUY34kYOoaRYWBlMrFYOFpkwB98fcjtvaIMoBXHrQxEvoAb5A==" saltValue="e7SDr5Bm30x5o9UOB/N6X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INCA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0.9006444683136412</v>
      </c>
      <c r="C9" s="498">
        <f>IF(ISNUMBER(NºAsuntos!I9/NºAsuntos!G9),NºAsuntos!I9/NºAsuntos!G9," - ")</f>
        <v>0.91771019677996424</v>
      </c>
      <c r="D9" s="499">
        <f>IF(ISNUMBER('Resol  Asuntos'!D9/NºAsuntos!G9),'Resol  Asuntos'!D9/NºAsuntos!G9," - ")</f>
        <v>0.22107930828861061</v>
      </c>
      <c r="E9" s="500">
        <f>IF(ISNUMBER((NºAsuntos!C9+NºAsuntos!E9)/NºAsuntos!G9),(NºAsuntos!C9+NºAsuntos!E9)/NºAsuntos!G9," - ")</f>
        <v>1.9107036374478235</v>
      </c>
      <c r="G9" s="523"/>
    </row>
    <row r="10" spans="1:7">
      <c r="A10" s="450" t="str">
        <f>Datos!A10</f>
        <v>Jdos. Violencia contra la mujer</v>
      </c>
      <c r="B10" s="497">
        <f>IF(ISNUMBER(NºAsuntos!G10/NºAsuntos!E10),NºAsuntos!G10/NºAsuntos!E10," - ")</f>
        <v>0.80952380952380953</v>
      </c>
      <c r="C10" s="498">
        <f>IF(ISNUMBER(NºAsuntos!I10/NºAsuntos!G10),NºAsuntos!I10/NºAsuntos!G10," - ")</f>
        <v>1.223529411764706</v>
      </c>
      <c r="D10" s="499">
        <f>IF(ISNUMBER('Resol  Asuntos'!D10/NºAsuntos!G10),'Resol  Asuntos'!D10/NºAsuntos!G10," - ")</f>
        <v>0.31764705882352939</v>
      </c>
      <c r="E10" s="500">
        <f>IF(ISNUMBER((NºAsuntos!C10+NºAsuntos!E10)/NºAsuntos!G10),(NºAsuntos!C10+NºAsuntos!E10)/NºAsuntos!G10," - ")</f>
        <v>2.223529411764706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0.89937773070303195</v>
      </c>
      <c r="C14" s="1156">
        <f>IF(ISNUMBER(NºAsuntos!I14/NºAsuntos!G14),NºAsuntos!I14/NºAsuntos!G14," - ")</f>
        <v>0.92153687619608415</v>
      </c>
      <c r="D14" s="1157">
        <f>IF(ISNUMBER('Resol  Asuntos'!D14/NºAsuntos!G14),'Resol  Asuntos'!D14/NºAsuntos!G14," - ")</f>
        <v>0.22228764905049314</v>
      </c>
      <c r="E14" s="1158">
        <f>IF(ISNUMBER((NºAsuntos!C14+NºAsuntos!E14)/NºAsuntos!G14),(NºAsuntos!C14+NºAsuntos!E14)/NºAsuntos!G14," - ")</f>
        <v>1.914617989106433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0.92753114581505525</v>
      </c>
      <c r="C16" s="498">
        <f>IF(ISNUMBER(NºAsuntos!I16/NºAsuntos!G16),NºAsuntos!I16/NºAsuntos!G16," - ")</f>
        <v>0.50699962164207335</v>
      </c>
      <c r="D16" s="499">
        <f>IF(ISNUMBER('Resol  Asuntos'!D16/NºAsuntos!G16),'Resol  Asuntos'!D16/NºAsuntos!G16," - ")</f>
        <v>0.13753310631857738</v>
      </c>
      <c r="E16" s="500">
        <f>IF(ISNUMBER((NºAsuntos!C16+NºAsuntos!E16)/NºAsuntos!G16),(NºAsuntos!C16+NºAsuntos!E16)/NºAsuntos!G16," - ")</f>
        <v>1.5069996216420734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0.94545454545454544</v>
      </c>
      <c r="C18" s="498">
        <f>IF(ISNUMBER(NºAsuntos!I18/NºAsuntos!G18),NºAsuntos!I18/NºAsuntos!G18," - ")</f>
        <v>0.24145299145299146</v>
      </c>
      <c r="D18" s="499">
        <f>IF(ISNUMBER('Resol  Asuntos'!D18/NºAsuntos!G18),'Resol  Asuntos'!D18/NºAsuntos!G18," - ")</f>
        <v>0.25854700854700857</v>
      </c>
      <c r="E18" s="500">
        <f>IF(ISNUMBER((NºAsuntos!C18+NºAsuntos!E18)/NºAsuntos!G18),(NºAsuntos!C18+NºAsuntos!E18)/NºAsuntos!G18," - ")</f>
        <v>1.2414529914529915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0.93018388398863805</v>
      </c>
      <c r="C23" s="1156">
        <f>IF(ISNUMBER(NºAsuntos!I23/NºAsuntos!G23),NºAsuntos!I23/NºAsuntos!G23," - ")</f>
        <v>0.46753455480552875</v>
      </c>
      <c r="D23" s="1159">
        <f>IF(ISNUMBER('Resol  Asuntos'!D23/NºAsuntos!G23),'Resol  Asuntos'!D23/NºAsuntos!G23," - ")</f>
        <v>0.15573770491803279</v>
      </c>
      <c r="E23" s="1158">
        <f>IF(ISNUMBER((NºAsuntos!C23+NºAsuntos!E23)/NºAsuntos!G23),(NºAsuntos!C23+NºAsuntos!E23)/NºAsuntos!G23," - ")</f>
        <v>1.4675345548055287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0.91384636989186907</v>
      </c>
      <c r="C31" s="1099">
        <f>IF(ISNUMBER(NºAsuntos!I31/NºAsuntos!G31),NºAsuntos!I31/NºAsuntos!G31," - ")</f>
        <v>0.70449481367652711</v>
      </c>
      <c r="D31" s="1100">
        <f>IF(ISNUMBER('Resol  Asuntos'!D31/NºAsuntos!G31),'Resol  Asuntos'!D31/NºAsuntos!G31," - ")</f>
        <v>0.190472531694199</v>
      </c>
      <c r="E31" s="1101">
        <f>IF(ISNUMBER((NºAsuntos!C31+NºAsuntos!E31)/NºAsuntos!G31),(NºAsuntos!C31+NºAsuntos!E31)/NºAsuntos!G31," - ")</f>
        <v>1.7008835958509412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7eTjOqseVPs/adVsfIbji2LbCAsPqUm2sYN7NFvtyMNHvOYWpRlD4PK7JzV+Z0qCwQOT3KDd0y6PQC91I5pRg==" saltValue="z6JBEDsXbmRhex+/HlcFG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INCA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777</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1120</v>
      </c>
      <c r="AX5" s="1641" t="s">
        <v>419</v>
      </c>
      <c r="AY5" s="1641" t="s">
        <v>1000</v>
      </c>
      <c r="AZ5" s="1641" t="s">
        <v>1001</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1262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1058</v>
      </c>
      <c r="Y9" s="374">
        <f>SUM(W9:X9)</f>
        <v>1058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8068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1483</v>
      </c>
      <c r="AJ9" s="243" t="str">
        <f>IF(ISNUMBER(Datos!BW9),Datos!BW9," - ")</f>
        <v xml:space="preserve"> - </v>
      </c>
      <c r="AK9" s="242" t="str">
        <f>IF(ISNUMBER(Datos!BX9),Datos!BX9," - ")</f>
        <v xml:space="preserve"> - </v>
      </c>
      <c r="AL9" s="266">
        <f>IF(ISNUMBER(NºAsuntos!G9/NºAsuntos!E9),NºAsuntos!G9/NºAsuntos!E9," - ")</f>
        <v>0.9006444683136412</v>
      </c>
      <c r="AM9" s="284">
        <f>IF(ISNUMBER(((NºAsuntos!I9/NºAsuntos!G9)*11)/factor_trimestre),((NºAsuntos!I9/NºAsuntos!G9)*11)/factor_trimestre," - ")</f>
        <v>10.094812164579606</v>
      </c>
      <c r="AN9" s="267">
        <f>IF(ISNUMBER('Resol  Asuntos'!D9/NºAsuntos!G9),'Resol  Asuntos'!D9/NºAsuntos!G9," - ")</f>
        <v>0.22107930828861061</v>
      </c>
      <c r="AO9" s="268">
        <f>IF(ISNUMBER((NºAsuntos!C9+NºAsuntos!E9)/NºAsuntos!G9),(NºAsuntos!C9+NºAsuntos!E9)/NºAsuntos!G9," - ")</f>
        <v>1.9107036374478235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84</v>
      </c>
      <c r="G10" s="373">
        <f>IF(ISNUMBER(Datos!I10),Datos!I10," - ")</f>
        <v>84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85</v>
      </c>
      <c r="X10" s="240">
        <f>IF(ISNUMBER(Datos!Q10),Datos!Q10," - ")</f>
        <v>6</v>
      </c>
      <c r="Y10" s="374">
        <f t="shared" ref="Y10:Y13" si="0">SUM(W10:X10)</f>
        <v>91</v>
      </c>
      <c r="Z10" s="375" t="str">
        <f>IF(ISNUMBER(Datos!CC10),Datos!CC10," - ")</f>
        <v xml:space="preserve"> - </v>
      </c>
      <c r="AA10" s="372">
        <f>IF(ISNUMBER(Datos!L10),Datos!L10,"-")</f>
        <v>104</v>
      </c>
      <c r="AB10" s="374">
        <f>IF(ISNUMBER(Datos!R10),Datos!R10," - ")</f>
        <v>33</v>
      </c>
      <c r="AC10" s="374">
        <f t="shared" ref="AC10:AC13" si="1">IF(ISNUMBER(AA10+AB10),AA10+AB10," - ")</f>
        <v>137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27</v>
      </c>
      <c r="AJ10" s="245" t="str">
        <f>IF(ISNUMBER(Datos!BW10),Datos!BW10," - ")</f>
        <v xml:space="preserve"> - </v>
      </c>
      <c r="AK10" s="246" t="str">
        <f>IF(ISNUMBER(Datos!BX10),Datos!BX10," - ")</f>
        <v xml:space="preserve"> - </v>
      </c>
      <c r="AL10" s="266">
        <f>IF(ISNUMBER(NºAsuntos!G10/NºAsuntos!E10),NºAsuntos!G10/NºAsuntos!E10," - ")</f>
        <v>0.80952380952380953</v>
      </c>
      <c r="AM10" s="284">
        <f>IF(ISNUMBER(((NºAsuntos!I10/NºAsuntos!G10)*11)/factor_trimestre),((NºAsuntos!I10/NºAsuntos!G10)*11)/factor_trimestre," - ")</f>
        <v>13.458823529411767</v>
      </c>
      <c r="AN10" s="267">
        <f>IF(ISNUMBER('Resol  Asuntos'!D10/NºAsuntos!G10),'Resol  Asuntos'!D10/NºAsuntos!G10," - ")</f>
        <v>0.31764705882352939</v>
      </c>
      <c r="AO10" s="268">
        <f>IF(ISNUMBER((NºAsuntos!C10+NºAsuntos!E10)/NºAsuntos!G10),(NºAsuntos!C10+NºAsuntos!E10)/NºAsuntos!G10," - ")</f>
        <v>2.223529411764706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84</v>
      </c>
      <c r="G14" s="1163">
        <f t="shared" si="5"/>
        <v>84</v>
      </c>
      <c r="H14" s="1162">
        <f t="shared" si="5"/>
        <v>0</v>
      </c>
      <c r="I14" s="1164">
        <f t="shared" si="5"/>
        <v>0</v>
      </c>
      <c r="J14" s="1164">
        <f t="shared" si="5"/>
        <v>0</v>
      </c>
      <c r="K14" s="1164">
        <f t="shared" si="5"/>
        <v>0</v>
      </c>
      <c r="L14" s="1164">
        <f t="shared" si="5"/>
        <v>1272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85</v>
      </c>
      <c r="X14" s="1164">
        <f t="shared" si="6"/>
        <v>1064</v>
      </c>
      <c r="Y14" s="1165">
        <f t="shared" si="6"/>
        <v>1149</v>
      </c>
      <c r="Z14" s="1165">
        <f t="shared" si="6"/>
        <v>0</v>
      </c>
      <c r="AA14" s="1165">
        <f t="shared" si="6"/>
        <v>104</v>
      </c>
      <c r="AB14" s="1165">
        <f t="shared" si="6"/>
        <v>8101</v>
      </c>
      <c r="AC14" s="1165">
        <f t="shared" si="6"/>
        <v>137</v>
      </c>
      <c r="AD14" s="1165">
        <f t="shared" si="6"/>
        <v>0</v>
      </c>
      <c r="AE14" s="1169">
        <f t="shared" si="6"/>
        <v>0</v>
      </c>
      <c r="AF14" s="1162">
        <f t="shared" si="6"/>
        <v>0</v>
      </c>
      <c r="AG14" s="1170">
        <f t="shared" si="6"/>
        <v>0</v>
      </c>
      <c r="AH14" s="1167">
        <f t="shared" si="6"/>
        <v>0</v>
      </c>
      <c r="AI14" s="1162">
        <f t="shared" si="6"/>
        <v>1510</v>
      </c>
      <c r="AJ14" s="1164">
        <f t="shared" si="6"/>
        <v>0</v>
      </c>
      <c r="AK14" s="1167">
        <f>SUBTOTAL(9,AK9:AK13)</f>
        <v>0</v>
      </c>
      <c r="AL14" s="1171">
        <f>IF(ISNUMBER(NºAsuntos!G14/NºAsuntos!E14),NºAsuntos!G14/NºAsuntos!E14," - ")</f>
        <v>0.89937773070303195</v>
      </c>
      <c r="AM14" s="1171">
        <f>IF(ISNUMBER(((NºAsuntos!I14/NºAsuntos!G14)*11)/factor_trimestre),((NºAsuntos!I14/NºAsuntos!G14)*11)/factor_trimestre," - ")</f>
        <v>10.136905638156925</v>
      </c>
      <c r="AN14" s="1172">
        <f>IF(ISNUMBER('Resol  Asuntos'!D14/NºAsuntos!G14),'Resol  Asuntos'!D14/NºAsuntos!G14," - ")</f>
        <v>0.22228764905049314</v>
      </c>
      <c r="AO14" s="1173">
        <f>IF(ISNUMBER((NºAsuntos!C14+NºAsuntos!E14)/NºAsuntos!G14),(NºAsuntos!C14+NºAsuntos!E14)/NºAsuntos!G14," - ")</f>
        <v>1.914617989106433</v>
      </c>
      <c r="AP14" s="1174" t="str">
        <f t="shared" si="2"/>
        <v xml:space="preserve"> - </v>
      </c>
      <c r="AQ14" s="1174">
        <f>IF(ISNUMBER((H14-W14+K14)/(F14)),(H14-W14+K14)/(F14)," - ")</f>
        <v>-1.0119047619047619</v>
      </c>
      <c r="AR14" s="1175">
        <f>IF(ISNUMBER((Datos!P14-Datos!Q14)/(Datos!R14-Datos!P14+Datos!Q14)),(Datos!P14-Datos!Q14)/(Datos!R14-Datos!P14+Datos!Q14)," - ")</f>
        <v>2.63524642087926E-2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2267</v>
      </c>
      <c r="G16" s="373">
        <f>IF(ISNUMBER(IF(D_I="SI",Datos!I16,Datos!I16+Datos!AC16)),IF(D_I="SI",Datos!I16,Datos!I16+Datos!AC16)," - ")</f>
        <v>2267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135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5286</v>
      </c>
      <c r="X16" s="240">
        <f>IF(ISNUMBER(Datos!Q16),Datos!Q16," - ")</f>
        <v>133</v>
      </c>
      <c r="Y16" s="374">
        <f>SUM(W16)</f>
        <v>5286</v>
      </c>
      <c r="Z16" s="375" t="str">
        <f>IF(ISNUMBER(Datos!CC16),Datos!CC16," - ")</f>
        <v xml:space="preserve"> - </v>
      </c>
      <c r="AA16" s="372">
        <f>IF(ISNUMBER(IF(D_I="SI",Datos!L16,Datos!L16+Datos!AF16)),IF(D_I="SI",Datos!L16,Datos!L16+Datos!AF16)," - ")</f>
        <v>2680</v>
      </c>
      <c r="AB16" s="374">
        <f>IF(ISNUMBER(Datos!R16),Datos!R16," - ")</f>
        <v>250</v>
      </c>
      <c r="AC16" s="374">
        <f t="shared" ref="AC16:AC22" si="8">IF(ISNUMBER(AA16+AB16),AA16+AB16," - ")</f>
        <v>2930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727</v>
      </c>
      <c r="AJ16" s="245" t="str">
        <f>IF(ISNUMBER(Datos!BW16),Datos!BW16," - ")</f>
        <v xml:space="preserve"> - </v>
      </c>
      <c r="AK16" s="246" t="str">
        <f>IF(ISNUMBER(Datos!BX16),Datos!BX16," - ")</f>
        <v xml:space="preserve"> - </v>
      </c>
      <c r="AL16" s="266">
        <f>IF(ISNUMBER(NºAsuntos!G16/NºAsuntos!E16),NºAsuntos!G16/NºAsuntos!E16," - ")</f>
        <v>0.92753114581505525</v>
      </c>
      <c r="AM16" s="284">
        <f>IF(ISNUMBER(((NºAsuntos!I16/NºAsuntos!G16)*11)/factor_trimestre),((NºAsuntos!I16/NºAsuntos!G16)*11)/factor_trimestre," - ")</f>
        <v>5.5769958380628069</v>
      </c>
      <c r="AN16" s="267">
        <f>IF(ISNUMBER('Resol  Asuntos'!D16/NºAsuntos!G16),'Resol  Asuntos'!D16/NºAsuntos!G16," - ")</f>
        <v>0.13753310631857738</v>
      </c>
      <c r="AO16" s="268">
        <f>IF(ISNUMBER((NºAsuntos!C16+NºAsuntos!E16)/NºAsuntos!G16),(NºAsuntos!C16+NºAsuntos!E16)/NºAsuntos!G16," - ")</f>
        <v>1.5069996216420734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3</v>
      </c>
      <c r="G17" s="373">
        <f>IF(ISNUMBER(IF(D_I="SI",Datos!I17,Datos!I17+Datos!AC17)),IF(D_I="SI",Datos!I17,Datos!I17+Datos!AC17)," - ")</f>
        <v>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1</v>
      </c>
      <c r="Y17" s="374">
        <f t="shared" ref="Y17:Y22" si="9">SUM(W17:X17)</f>
        <v>1</v>
      </c>
      <c r="Z17" s="375" t="str">
        <f>IF(ISNUMBER(Datos!CC17),Datos!CC17," - ")</f>
        <v xml:space="preserve"> - </v>
      </c>
      <c r="AA17" s="372">
        <f>IF(ISNUMBER(IF(D_I="SI",Datos!L17,Datos!L17+Datos!AF17)),IF(D_I="SI",Datos!L17,Datos!L17+Datos!AF17)," - ")</f>
        <v>3</v>
      </c>
      <c r="AB17" s="374">
        <f>IF(ISNUMBER(Datos!R17),Datos!R17," - ")</f>
        <v>1</v>
      </c>
      <c r="AC17" s="374">
        <f t="shared" si="8"/>
        <v>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936</v>
      </c>
      <c r="X18" s="240">
        <f>IF(ISNUMBER(Datos!Q18),Datos!Q18," - ")</f>
        <v>11</v>
      </c>
      <c r="Y18" s="374">
        <f t="shared" si="9"/>
        <v>947</v>
      </c>
      <c r="Z18" s="375" t="str">
        <f>IF(ISNUMBER(Datos!CC18),Datos!CC18," - ")</f>
        <v xml:space="preserve"> - </v>
      </c>
      <c r="AA18" s="372">
        <f>IF(ISNUMBER(Datos!L18),Datos!L18,"-")</f>
        <v>226</v>
      </c>
      <c r="AB18" s="374">
        <f>IF(ISNUMBER(Datos!R18),Datos!R18," - ")</f>
        <v>9</v>
      </c>
      <c r="AC18" s="374">
        <f t="shared" si="8"/>
        <v>235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242</v>
      </c>
      <c r="AJ18" s="245" t="str">
        <f>IF(ISNUMBER(Datos!BW18),Datos!BW18," - ")</f>
        <v xml:space="preserve"> - </v>
      </c>
      <c r="AK18" s="246" t="str">
        <f>IF(ISNUMBER(Datos!BX18),Datos!BX18," - ")</f>
        <v xml:space="preserve"> - </v>
      </c>
      <c r="AL18" s="266">
        <f>IF(ISNUMBER(NºAsuntos!G18/NºAsuntos!E18),NºAsuntos!G18/NºAsuntos!E18," - ")</f>
        <v>0.94545454545454544</v>
      </c>
      <c r="AM18" s="284">
        <f>IF(ISNUMBER(((NºAsuntos!I18/NºAsuntos!G18)*11)/factor_trimestre),((NºAsuntos!I18/NºAsuntos!G18)*11)/factor_trimestre," - ")</f>
        <v>2.6559829059829059</v>
      </c>
      <c r="AN18" s="267">
        <f>IF(ISNUMBER('Resol  Asuntos'!D18/NºAsuntos!G18),'Resol  Asuntos'!D18/NºAsuntos!G18," - ")</f>
        <v>0.25854700854700857</v>
      </c>
      <c r="AO18" s="268">
        <f>IF(ISNUMBER((NºAsuntos!C18+NºAsuntos!E18)/NºAsuntos!G18),(NºAsuntos!C18+NºAsuntos!E18)/NºAsuntos!G18," - ")</f>
        <v>1.2414529914529915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2270</v>
      </c>
      <c r="G23" s="1163">
        <f>SUBTOTAL(9,G16:G22)</f>
        <v>2442</v>
      </c>
      <c r="H23" s="1162">
        <f t="shared" ref="H23:O23" si="13">SUBTOTAL(9,H15:H22)</f>
        <v>0</v>
      </c>
      <c r="I23" s="1164">
        <f t="shared" si="13"/>
        <v>0</v>
      </c>
      <c r="J23" s="1164">
        <f t="shared" si="13"/>
        <v>0</v>
      </c>
      <c r="K23" s="1164">
        <f t="shared" si="13"/>
        <v>0</v>
      </c>
      <c r="L23" s="1164">
        <f t="shared" si="13"/>
        <v>153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6222</v>
      </c>
      <c r="X23" s="1164">
        <f t="shared" si="14"/>
        <v>145</v>
      </c>
      <c r="Y23" s="1165">
        <f t="shared" si="14"/>
        <v>6234</v>
      </c>
      <c r="Z23" s="1165">
        <f t="shared" si="14"/>
        <v>0</v>
      </c>
      <c r="AA23" s="1165">
        <f t="shared" si="14"/>
        <v>2909</v>
      </c>
      <c r="AB23" s="1165">
        <f t="shared" si="14"/>
        <v>260</v>
      </c>
      <c r="AC23" s="1165">
        <f t="shared" si="14"/>
        <v>3169</v>
      </c>
      <c r="AD23" s="1165">
        <f t="shared" si="14"/>
        <v>0</v>
      </c>
      <c r="AE23" s="1169">
        <f t="shared" si="14"/>
        <v>0</v>
      </c>
      <c r="AF23" s="1162">
        <f t="shared" si="14"/>
        <v>0</v>
      </c>
      <c r="AG23" s="1170">
        <f t="shared" si="14"/>
        <v>0</v>
      </c>
      <c r="AH23" s="1167">
        <f t="shared" si="14"/>
        <v>0</v>
      </c>
      <c r="AI23" s="1162">
        <f t="shared" si="14"/>
        <v>969</v>
      </c>
      <c r="AJ23" s="1164">
        <f t="shared" si="14"/>
        <v>0</v>
      </c>
      <c r="AK23" s="1167">
        <f t="shared" si="14"/>
        <v>0</v>
      </c>
      <c r="AL23" s="1171">
        <f>IF(ISNUMBER(NºAsuntos!G23/NºAsuntos!E23),NºAsuntos!G23/NºAsuntos!E23," - ")</f>
        <v>0.93018388398863805</v>
      </c>
      <c r="AM23" s="1171">
        <f>IF(ISNUMBER(((NºAsuntos!I23/NºAsuntos!G23)*11)/factor_trimestre),((NºAsuntos!I23/NºAsuntos!G23)*11)/factor_trimestre," - ")</f>
        <v>5.1428801028608166</v>
      </c>
      <c r="AN23" s="1172">
        <f>IF(ISNUMBER('Resol  Asuntos'!D23/NºAsuntos!G23),'Resol  Asuntos'!D23/NºAsuntos!G23," - ")</f>
        <v>0.15573770491803279</v>
      </c>
      <c r="AO23" s="1173">
        <f>IF(ISNUMBER((NºAsuntos!C23+NºAsuntos!E23)/NºAsuntos!G23),(NºAsuntos!C23+NºAsuntos!E23)/NºAsuntos!G23," - ")</f>
        <v>1.4675345548055287</v>
      </c>
      <c r="AP23" s="1174" t="str">
        <f t="shared" si="2"/>
        <v xml:space="preserve"> - </v>
      </c>
      <c r="AQ23" s="1174">
        <f>IF(ISNUMBER((H23-W23+K23)/(F23)),(H23-W23+K23)/(F23)," - ")</f>
        <v>-2.7409691629955946</v>
      </c>
      <c r="AR23" s="1175">
        <f>IF(ISNUMBER((Datos!P23-Datos!Q23)/(Datos!R23-Datos!P23+Datos!Q23)),(Datos!P23-Datos!Q23)/(Datos!R23-Datos!P23+Datos!Q23)," - ")</f>
        <v>3.1746031746031744E-2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2354</v>
      </c>
      <c r="G31" s="1118">
        <f t="shared" si="20"/>
        <v>2526</v>
      </c>
      <c r="H31" s="1117">
        <f t="shared" si="20"/>
        <v>0</v>
      </c>
      <c r="I31" s="1119">
        <f t="shared" si="20"/>
        <v>0</v>
      </c>
      <c r="J31" s="1119">
        <f t="shared" si="20"/>
        <v>0</v>
      </c>
      <c r="K31" s="1180">
        <f t="shared" si="20"/>
        <v>0</v>
      </c>
      <c r="L31" s="1119">
        <f t="shared" si="20"/>
        <v>1425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6307</v>
      </c>
      <c r="X31" s="1118">
        <f t="shared" si="21"/>
        <v>1209</v>
      </c>
      <c r="Y31" s="1125">
        <f t="shared" si="21"/>
        <v>7383</v>
      </c>
      <c r="Z31" s="1125">
        <f t="shared" si="21"/>
        <v>0</v>
      </c>
      <c r="AA31" s="1125">
        <f t="shared" si="21"/>
        <v>3013</v>
      </c>
      <c r="AB31" s="1125">
        <f t="shared" si="21"/>
        <v>8361</v>
      </c>
      <c r="AC31" s="1125">
        <f t="shared" si="21"/>
        <v>3306</v>
      </c>
      <c r="AD31" s="1125">
        <f t="shared" si="21"/>
        <v>0</v>
      </c>
      <c r="AE31" s="1127">
        <f t="shared" si="21"/>
        <v>0</v>
      </c>
      <c r="AF31" s="1128">
        <f t="shared" si="21"/>
        <v>0</v>
      </c>
      <c r="AG31" s="1129">
        <f t="shared" si="21"/>
        <v>0</v>
      </c>
      <c r="AH31" s="1127">
        <f t="shared" si="21"/>
        <v>0</v>
      </c>
      <c r="AI31" s="1117">
        <f t="shared" si="21"/>
        <v>2479</v>
      </c>
      <c r="AJ31" s="1117">
        <f t="shared" si="21"/>
        <v>0</v>
      </c>
      <c r="AK31" s="1127">
        <f t="shared" si="21"/>
        <v>0</v>
      </c>
      <c r="AL31" s="1183">
        <f>IF(ISNUMBER(NºAsuntos!G31/NºAsuntos!E31),NºAsuntos!G31/NºAsuntos!E31," - ")</f>
        <v>0.91384636989186907</v>
      </c>
      <c r="AM31" s="1184">
        <f>IF(ISNUMBER(((NºAsuntos!I31/NºAsuntos!G31)*11)/factor_trimestre),((NºAsuntos!I31/NºAsuntos!G31)*11)/factor_trimestre," - ")</f>
        <v>7.7494429504417983</v>
      </c>
      <c r="AN31" s="1184">
        <f>IF(ISNUMBER('Resol  Asuntos'!D31/NºAsuntos!G31),'Resol  Asuntos'!D31/NºAsuntos!G31," - ")</f>
        <v>0.190472531694199</v>
      </c>
      <c r="AO31" s="1185">
        <f>IF(ISNUMBER((NºAsuntos!C31+NºAsuntos!E31)/NºAsuntos!G31),(NºAsuntos!C31+NºAsuntos!E31)/NºAsuntos!G31," - ")</f>
        <v>1.7008835958509412</v>
      </c>
      <c r="AP31" s="1186" t="str">
        <f t="shared" si="2"/>
        <v xml:space="preserve"> - </v>
      </c>
      <c r="AQ31" s="1187">
        <f>IF(OR(ISNUMBER(FIND("01",Criterios!A8,1)),ISNUMBER(FIND("02",Criterios!A8,1)),ISNUMBER(FIND("03",Criterios!A8,1)),ISNUMBER(FIND("04",Criterios!A8,1))),(I31-W31+K31)/(F31-K31),(H31-W31+K31)/(F31-K31))</f>
        <v>-2.6792693288020391</v>
      </c>
      <c r="AR31" s="1188">
        <f>IF(ISNUMBER((Datos!P31-Datos!Q31)/(Datos!R31-Datos!P31+Datos!Q31)),(Datos!P31-Datos!Q31)/(Datos!R31-Datos!P31+Datos!Q31)," - ")</f>
        <v>2.6519337016574586E-2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631.5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1.7404711333664431</v>
      </c>
      <c r="F33" s="276">
        <f>IF(ISNUMBER(STDEV(F8:F30)),STDEV(F8:F30),"-")</f>
        <v>1090.8592724916227</v>
      </c>
      <c r="G33" s="277">
        <f>IF(ISNUMBER(STDEV(G8:G30)),STDEV(G8:G30),"-")</f>
        <v>1066.1023805030572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2609.2281699493324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639.81099639746049</v>
      </c>
      <c r="AJ33" s="276">
        <f t="shared" si="25"/>
        <v>0</v>
      </c>
      <c r="AK33" s="278">
        <f t="shared" si="25"/>
        <v>0</v>
      </c>
      <c r="AL33" s="273">
        <f t="shared" si="25"/>
        <v>4.8774875639043543E-2</v>
      </c>
      <c r="AM33" s="274">
        <f t="shared" si="25"/>
        <v>4.0299055053134811</v>
      </c>
      <c r="AN33" s="274">
        <f t="shared" si="25"/>
        <v>6.6255694954296021E-2</v>
      </c>
      <c r="AO33" s="275">
        <f t="shared" si="25"/>
        <v>0.36479966334142588</v>
      </c>
      <c r="AP33" s="317" t="str">
        <f t="shared" si="25"/>
        <v>-</v>
      </c>
      <c r="AQ33" s="318">
        <f t="shared" si="25"/>
        <v>1.2226331631195844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sKHQlcmqNvDUZhnZhM80rYUEDEQ5dnt041iK8dctnoIxSP83I7B4746FczEq8PdpmtkWtJGl62v4eo0n32IUKA==" saltValue="+5rPQTscwY7TNqQ9UfPur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INCA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0.17140600315955767</v>
      </c>
      <c r="I9" s="395">
        <f>IF(ISNUMBER((Tasas!C9-Datos!BE9)/Datos!BE9),(Tasas!C9-Datos!BE9)/Datos!BE9," - ")</f>
        <v>2.3193507017526694E-3</v>
      </c>
      <c r="J9" s="394">
        <f>IF(ISNUMBER((Tasas!D9-Datos!BF9)/Datos!BF9),(Tasas!D9-Datos!BF9)/Datos!BF9," - ")</f>
        <v>-0.4914048396216506</v>
      </c>
      <c r="K9" s="396">
        <f>IF(ISNUMBER((Tasas!E9-Datos!BG9)/Datos!BG9),(Tasas!E9-Datos!BG9)/Datos!BG9," - ")</f>
        <v>-1.2134885382292685E-2</v>
      </c>
      <c r="M9" t="e">
        <f>IF(Monitorios="SI",Datos!CE9,0)</f>
        <v>#REF!</v>
      </c>
      <c r="N9" t="e">
        <f>IF(Monitorios="SI",Datos!CF9,0)</f>
        <v>#REF!</v>
      </c>
      <c r="O9" t="e">
        <f>IF(Monitorios="SI",Datos!CG9,0)</f>
        <v>#REF!</v>
      </c>
      <c r="P9" t="e">
        <f>IF(Monitorios="SI",Datos!CH9,0)</f>
        <v>#REF!</v>
      </c>
      <c r="Q9">
        <f>IF(J_V="SI",0,Datos!AG9)</f>
        <v>152</v>
      </c>
      <c r="R9">
        <f>IF(J_V="SI",0,Datos!AH9)</f>
        <v>516</v>
      </c>
      <c r="S9">
        <f>IF(J_V="SI",0,Datos!AI9)</f>
        <v>465</v>
      </c>
      <c r="T9">
        <f>IF(J_V="SI",0,Datos!AJ9)</f>
        <v>208</v>
      </c>
    </row>
    <row r="10" spans="2:20" ht="14.25">
      <c r="B10" s="300" t="s">
        <v>321</v>
      </c>
      <c r="C10" s="7" t="str">
        <f>Datos!A10</f>
        <v>Jdos. Violencia contra la mujer</v>
      </c>
      <c r="D10" s="397">
        <f>IF(ISNUMBER((Datos!I10-Datos!S10)/Datos!S10),(Datos!I10-Datos!S10)/Datos!S10," - ")</f>
        <v>7.6923076923076927E-2</v>
      </c>
      <c r="E10" s="393">
        <f>IF(ISNUMBER((Datos!J10-Datos!T10)/Datos!T10),(Datos!J10-Datos!T10)/Datos!T10," - ")</f>
        <v>0.10526315789473684</v>
      </c>
      <c r="F10" s="393">
        <f>IF(ISNUMBER((Datos!K10-Datos!U10)/Datos!U10),(Datos!K10-Datos!U10)/Datos!U10," - ")</f>
        <v>-4.49438202247191E-2</v>
      </c>
      <c r="G10" s="394">
        <f>IF(ISNUMBER((Datos!L10-Datos!V10)/Datos!V10),(Datos!L10-Datos!V10)/Datos!V10," - ")</f>
        <v>0.23809523809523808</v>
      </c>
      <c r="H10" s="244">
        <f>IF(ISNUMBER((Datos!M10-Datos!W10)/Datos!W10),(Datos!M10-Datos!W10)/Datos!W10," - ")</f>
        <v>-0.38636363636363635</v>
      </c>
      <c r="I10" s="395">
        <f>IF(ISNUMBER((Tasas!C10-Datos!BE10)/Datos!BE10),(Tasas!C10-Datos!BE10)/Datos!BE10," - ")</f>
        <v>0.29635854341736706</v>
      </c>
      <c r="J10" s="394">
        <f>IF(ISNUMBER((Tasas!D10-Datos!BF10)/Datos!BF10),(Tasas!D10-Datos!BF10)/Datos!BF10," - ")</f>
        <v>-0.35748663101604278</v>
      </c>
      <c r="K10" s="396">
        <f>IF(ISNUMBER((Tasas!E10-Datos!BG10)/Datos!BG10),(Tasas!E10-Datos!BG10)/Datos!BG10," - ")</f>
        <v>0.14389663379802789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0.15267175572519084</v>
      </c>
      <c r="I14" s="402">
        <f>IF(ISNUMBER((Tasas!C14-Datos!BE14)/Datos!BE14),(Tasas!C14-Datos!BE14)/Datos!BE14," - ")</f>
        <v>6.0350309912505272E-3</v>
      </c>
      <c r="J14" s="400">
        <f>IF(ISNUMBER((Tasas!D14-Datos!BF14)/Datos!BF14),(Tasas!D14-Datos!BF14)/Datos!BF14," - ")</f>
        <v>-0.48967282113475297</v>
      </c>
      <c r="K14" s="403">
        <f>IF(ISNUMBER((Tasas!E14-Datos!BG14)/Datos!BG14),(Tasas!E14-Datos!BG14)/Datos!BG14," - ")</f>
        <v>-1.0184898901381148E-2</v>
      </c>
      <c r="M14" t="e">
        <f>IF(Monitorios="SI",Datos!CE14,0)</f>
        <v>#REF!</v>
      </c>
      <c r="N14" t="e">
        <f>IF(Monitorios="SI",Datos!CF14,0)</f>
        <v>#REF!</v>
      </c>
      <c r="O14" t="e">
        <f>IF(Monitorios="SI",Datos!CG14,0)</f>
        <v>#REF!</v>
      </c>
      <c r="P14" t="e">
        <f>IF(Monitorios="SI",Datos!CH14,0)</f>
        <v>#REF!</v>
      </c>
      <c r="Q14">
        <f>IF(J_V="SI",0,Datos!AG14)</f>
        <v>152</v>
      </c>
      <c r="R14">
        <f>IF(J_V="SI",0,Datos!AH14)</f>
        <v>516</v>
      </c>
      <c r="S14">
        <f>IF(J_V="SI",0,Datos!AI14)</f>
        <v>465</v>
      </c>
      <c r="T14">
        <f>IF(J_V="SI",0,Datos!AJ14)</f>
        <v>208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5.1972157772621812E-2</v>
      </c>
      <c r="E16" s="393">
        <f>IF(ISNUMBER(
   IF(D_I="SI",(Datos!J16-Datos!T16)/Datos!T16,(Datos!J16+Datos!AD16-(Datos!T16+Datos!AL16))/(Datos!T16+Datos!AL16))
     ),IF(D_I="SI",(Datos!J16-Datos!T16)/Datos!T16,(Datos!J16+Datos!AD16-(Datos!T16+Datos!AL16))/(Datos!T16+Datos!AL16))," - ")</f>
        <v>2.814360454627458E-2</v>
      </c>
      <c r="F16" s="393">
        <f>IF(ISNUMBER(
   IF(D_I="SI",(Datos!K16-Datos!U16)/Datos!U16,(Datos!K16+Datos!AE16-(Datos!U16+Datos!AM16))/(Datos!U16+Datos!AM16))
     ),IF(D_I="SI",(Datos!K16-Datos!U16)/Datos!U16,(Datos!K16+Datos!AE16-(Datos!U16+Datos!AM16))/(Datos!U16+Datos!AM16))," - ")</f>
        <v>-2.759381898454746E-2</v>
      </c>
      <c r="G16" s="394">
        <f>IF(ISNUMBER(
   IF(D_I="SI",(Datos!L16-Datos!V16)/Datos!V16,(Datos!L16+Datos!AF16-(Datos!V16+Datos!AN16))/(Datos!V16+Datos!AN16))
     ),IF(D_I="SI",(Datos!L16-Datos!V16)/Datos!V16,(Datos!L16+Datos!AF16-(Datos!V16+Datos!AN16))/(Datos!V16+Datos!AN16))," - ")</f>
        <v>0.18217909131010146</v>
      </c>
      <c r="H16" s="244">
        <f>IF(ISNUMBER((Datos!M16-Datos!W16)/Datos!W16),(Datos!M16-Datos!W16)/Datos!W16," - ")</f>
        <v>7.3855243722304287E-2</v>
      </c>
      <c r="I16" s="395">
        <f>IF(ISNUMBER((Tasas!C16-Datos!BE16)/Datos!BE16),(Tasas!C16-Datos!BE16)/Datos!BE16," - ")</f>
        <v>0.21572560354932105</v>
      </c>
      <c r="J16" s="394">
        <f>IF(ISNUMBER((Tasas!D16-Datos!BF16)/Datos!BF16),(Tasas!D16-Datos!BF16)/Datos!BF16," - ")</f>
        <v>0.10432786698343663</v>
      </c>
      <c r="K16" s="396">
        <f>IF(ISNUMBER((Tasas!E16-Datos!BG16)/Datos!BG16),(Tasas!E16-Datos!BG16)/Datos!BG16," - ")</f>
        <v>6.4179000161900576E-2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-0.5714285714285714</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-1</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-0.16908212560386474</v>
      </c>
      <c r="E18" s="393">
        <f>IF(ISNUMBER(
   IF(D_I="SI",(Datos!J18-Datos!T18)/Datos!T18,(Datos!J18+Datos!AD18-(Datos!T18+Datos!AL18))/(Datos!T18+Datos!AL18))
     ),IF(D_I="SI",(Datos!J18-Datos!T18)/Datos!T18,(Datos!J18+Datos!AD18-(Datos!T18+Datos!AL18))/(Datos!T18+Datos!AL18))," - ")</f>
        <v>9.5132743362831854E-2</v>
      </c>
      <c r="F18" s="393">
        <f>IF(ISNUMBER(
   IF(D_I="SI",(Datos!K18-Datos!U18)/Datos!U18,(Datos!K18+Datos!AE18-(Datos!U18+Datos!AM18))/(Datos!U18+Datos!AM18))
     ),IF(D_I="SI",(Datos!K18-Datos!U18)/Datos!U18,(Datos!K18+Datos!AE18-(Datos!U18+Datos!AM18))/(Datos!U18+Datos!AM18))," - ")</f>
        <v>-3.1948881789137379E-3</v>
      </c>
      <c r="G18" s="394">
        <f>IF(ISNUMBER(
   IF(D_I="SI",(Datos!L18-Datos!V18)/Datos!V18,(Datos!L18+Datos!AF18-(Datos!V18+Datos!AN18))/(Datos!V18+Datos!AN18))
     ),IF(D_I="SI",(Datos!L18-Datos!V18)/Datos!V18,(Datos!L18+Datos!AF18-(Datos!V18+Datos!AN18))/(Datos!V18+Datos!AN18))," - ")</f>
        <v>0.31395348837209303</v>
      </c>
      <c r="H18" s="244">
        <f>IF(ISNUMBER((Datos!M18-Datos!W18)/Datos!W18),(Datos!M18-Datos!W18)/Datos!W18," - ")</f>
        <v>0.14691943127962084</v>
      </c>
      <c r="I18" s="395">
        <f>IF(ISNUMBER((Tasas!C18-Datos!BE18)/Datos!BE18),(Tasas!C18-Datos!BE18)/Datos!BE18," - ")</f>
        <v>0.31816487775790103</v>
      </c>
      <c r="J18" s="394">
        <f>IF(ISNUMBER((Tasas!D18-Datos!BF18)/Datos!BF18),(Tasas!D18-Datos!BF18)/Datos!BF18," - ")</f>
        <v>0.15059545509782482</v>
      </c>
      <c r="K18" s="396">
        <f>IF(ISNUMBER((Tasas!E18-Datos!BG18)/Datos!BG18),(Tasas!E18-Datos!BG18)/Datos!BG18," - ")</f>
        <v>4.9256848761799206E-2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3.0814689742507388E-2</v>
      </c>
      <c r="E23" s="399">
        <f>IF(ISNUMBER(
   IF(D_I="SI",(Datos!J23-Datos!T23)/Datos!T23,(Datos!J23+Datos!AD23-(Datos!T23+Datos!AL23))/(Datos!T23+Datos!AL23))
     ),IF(D_I="SI",(Datos!J23-Datos!T23)/Datos!T23,(Datos!J23+Datos!AD23-(Datos!T23+Datos!AL23))/(Datos!T23+Datos!AL23))," - ")</f>
        <v>3.7536838839770437E-2</v>
      </c>
      <c r="F23" s="399">
        <f>IF(ISNUMBER(
   IF(D_I="SI",(Datos!K23-Datos!U23)/Datos!U23,(Datos!K23+Datos!AE23-(Datos!U23+Datos!AM23))/(Datos!U23+Datos!AM23))
     ),IF(D_I="SI",(Datos!K23-Datos!U23)/Datos!U23,(Datos!K23+Datos!AE23-(Datos!U23+Datos!AM23))/(Datos!U23+Datos!AM23))," - ")</f>
        <v>-2.4612008151747924E-2</v>
      </c>
      <c r="G23" s="400">
        <f>IF(ISNUMBER(
   IF(D_I="SI",(Datos!L23-Datos!V23)/Datos!V23,(Datos!L23+Datos!AF23-(Datos!V23+Datos!AN23))/(Datos!V23+Datos!AN23))
     ),IF(D_I="SI",(Datos!L23-Datos!V23)/Datos!V23,(Datos!L23+Datos!AF23-(Datos!V23+Datos!AN23))/(Datos!V23+Datos!AN23))," - ")</f>
        <v>0.19123669123669124</v>
      </c>
      <c r="H23" s="401">
        <f>IF(ISNUMBER((Datos!M23-Datos!W23)/Datos!W23),(Datos!M23-Datos!W23)/Datos!W23," - ")</f>
        <v>9.1216216216216214E-2</v>
      </c>
      <c r="I23" s="402">
        <f>IF(ISNUMBER((Tasas!C23-Datos!BE23)/Datos!BE23),(Tasas!C23-Datos!BE23)/Datos!BE23," - ")</f>
        <v>0.22129521912549871</v>
      </c>
      <c r="J23" s="400">
        <f>IF(ISNUMBER((Tasas!D23-Datos!BF23)/Datos!BF23),(Tasas!D23-Datos!BF23)/Datos!BF23," - ")</f>
        <v>0.11875092305420182</v>
      </c>
      <c r="K23" s="403">
        <f>IF(ISNUMBER((Tasas!E23-Datos!BG23)/Datos!BG23),(Tasas!E23-Datos!BG23)/Datos!BG23," - ")</f>
        <v>6.1865123083537706E-2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9.5158829241226248E-2</v>
      </c>
      <c r="E31" s="409">
        <f>IF(ISNUMBER(
   IF(J_V="SI",(Datos!J31-Datos!T31)/Datos!T31,(Datos!J31+Datos!Z31-(Datos!T31+Datos!AH31))/(Datos!T31+Datos!AH31))
     ),IF(J_V="SI",(Datos!J31-Datos!T31)/Datos!T31,(Datos!J31+Datos!Z31-(Datos!T31+Datos!AH31))/(Datos!T31+Datos!AH31))," - ")</f>
        <v>8.5352842554488648E-2</v>
      </c>
      <c r="F31" s="409">
        <f>IF(ISNUMBER(
   IF(J_V="SI",(Datos!K31-Datos!U31)/Datos!U31,(Datos!K31+Datos!AA31-(Datos!U31+Datos!AI31))/(Datos!U31+Datos!AI31))
     ),IF(J_V="SI",(Datos!K31-Datos!U31)/Datos!U31,(Datos!K31+Datos!AA31-(Datos!U31+Datos!AI31))/(Datos!U31+Datos!AI31))," - ")</f>
        <v>5.538436587739215E-2</v>
      </c>
      <c r="G31" s="410">
        <f>IF(ISNUMBER(
   IF(J_V="SI",(Datos!L31-Datos!V31)/Datos!V31,(Datos!L31+Datos!AB31-(Datos!V31+Datos!AJ31))/(Datos!V31+Datos!AJ31))
     ),IF(J_V="SI",(Datos!L31-Datos!V31)/Datos!V31,(Datos!L31+Datos!AB31-(Datos!V31+Datos!AJ31))/(Datos!V31+Datos!AJ31))," - ")</f>
        <v>0.16136795440151994</v>
      </c>
      <c r="H31" s="411">
        <f>IF(ISNUMBER((Datos!M31-Datos!W31)/Datos!W31),(Datos!M31-Datos!W31)/Datos!W31," - ")</f>
        <v>0.12784349408553231</v>
      </c>
      <c r="I31" s="408">
        <f>IF(ISNUMBER((Tasas!C31-Datos!BE31)/Datos!BE31),(Tasas!C31-Datos!BE31)/Datos!BE31," - ")</f>
        <v>0.10042179129308841</v>
      </c>
      <c r="J31" s="409">
        <f>IF(ISNUMBER((Tasas!D31-Datos!BF31)/Datos!BF31),(Tasas!D31-Datos!BF31)/Datos!BF31," - ")</f>
        <v>-0.3252205513206371</v>
      </c>
      <c r="K31" s="410">
        <f>IF(ISNUMBER((Tasas!E31-Datos!BG31)/Datos!BG31),(Tasas!E31-Datos!BG31)/Datos!BG31," - ")</f>
        <v>3.1690349910668769E-2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0.27259002183003278</v>
      </c>
      <c r="E33" s="303">
        <f t="shared" si="1"/>
        <v>3.9295855260336451E-2</v>
      </c>
      <c r="F33" s="303">
        <f t="shared" si="1"/>
        <v>0.43624697841353732</v>
      </c>
      <c r="G33" s="304">
        <f t="shared" si="1"/>
        <v>0.11588778749442848</v>
      </c>
      <c r="H33" s="310">
        <f t="shared" si="1"/>
        <v>0.21304166627775128</v>
      </c>
      <c r="I33" s="302">
        <f t="shared" si="1"/>
        <v>0.13955453221715089</v>
      </c>
      <c r="J33" s="303">
        <f t="shared" si="1"/>
        <v>0.31671790470974465</v>
      </c>
      <c r="K33" s="304">
        <f t="shared" si="1"/>
        <v>5.768933467214557E-2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WZp6I8y7pYCry3g3MONQxq8+sMwBdeOhZFJbcdQ3zq9wThQjxaDRS/YfaAwtqPspkGeSnh6HXBfTcLT+T454w==" saltValue="CXf6rgRW28CiI7oIBrpAz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